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<sst xmlns="http://schemas.openxmlformats.org/spreadsheetml/2006/main" count="169" uniqueCount="121">
  <si>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</si>
  <si>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</si>
  <si>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</si>
  <si>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</si>
  <si>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</si>
  <si>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</si>
  <si>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</si>
  <si>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</si>
  <si>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</si>
  <si>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</si>
  <si>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</si>
  <si>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</si>
  <si>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</si>
  <si>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</si>
  <si>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</si>
  <si>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</si>
  <si>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</si>
  <si>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</si>
  <si>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</si>
  <si>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</si>
  <si>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</si>
  <si>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</si>
  <si>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</si>
  <si>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</si>
  <si>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</si>
  <si>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</si>
  <si>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</si>
  <si>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</si>
  <si>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</si>
  <si>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</si>
  <si>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</si>
  <si>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</si>
  <si>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</si>
  <si>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</si>
  <si>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</si>
  <si>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</si>
  <si>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</si>
  <si>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</si>
  <si>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</si>
  <si>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</si>
  <si>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</si>
  <si>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</si>
  <si>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</si>
  <si>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</si>
  <si>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</si>
  <si>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</si>
  <si>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</si>
  <si>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</si>
  <si>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</si>
  <si>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</si>
  <si>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</si>
  <si>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</si>
  <si>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</si>
  <si>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</si>
  <si>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</si>
  <si>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</si>
  <si>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</si>
  <si>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</si>
  <si>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</si>
  <si>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</si>
  <si>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</si>
  <si>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</si>
  <si>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</si>
  <si>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</si>
  <si>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</si>
  <si>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</si>
  <si>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</si>
  <si>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</si>
  <si>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</si>
  <si>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</si>
  <si>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</si>
  <si>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</si>
  <si>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</si>
  <si>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</si>
  <si>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</si>
  <si>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</si>
  <si>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</si>
  <si>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</si>
  <si>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</si>
  <si>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</si>
  <si>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</si>
  <si>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</si>
  <si>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</si>
  <si>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</si>
  <si>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</si>
  <si>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</si>
  <si>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</si>
  <si>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</si>
  <si>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</si>
  <si>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</si>
  <si>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</si>
  <si>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</si>
  <si>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</si>
  <si>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</si>
  <si>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</si>
  <si>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</si>
  <si>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</si>
  <si>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</si>
  <si>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</si>
  <si>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</si>
  <si>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</si>
  <si>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</si>
  <si>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</si>
  <si>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</si>
  <si>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</si>
  <si>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</si>
  <si>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</si>
  <si>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</si>
  <si>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</si>
  <si>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</si>
  <si>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</si>
  <si>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</si>
  <si>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</si>
  <si>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</si>
  <si>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</si>
  <si>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План на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</si>
  <si>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</si>
  <si>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</si>
  <si>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міського бюджету за 2015 рік станом на 24.09.2015 року</t>
  </si>
  <si>
    <t>Пільгове перевезення (170102, 170602)</t>
  </si>
  <si>
    <t>Програма підтримки об'єднань співвласників баготоквартирних будинків ОСББ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</si>
</sst>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3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50453.5</c:v>
                </c:pt>
                <c:pt idx="1">
                  <c:v>41320.4</c:v>
                </c:pt>
                <c:pt idx="2">
                  <c:v>2575.1</c:v>
                </c:pt>
                <c:pt idx="3">
                  <c:v>6557.999999999998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32498.499999999993</c:v>
                </c:pt>
                <c:pt idx="1">
                  <c:v>27898.600000000006</c:v>
                </c:pt>
                <c:pt idx="2">
                  <c:v>1105.3999999999999</c:v>
                </c:pt>
                <c:pt idx="3">
                  <c:v>3494.4999999999873</c:v>
                </c:pt>
              </c:numCache>
            </c:numRef>
          </c:val>
          <c:shape val="box"/>
        </c:ser>
        <c:shape val="box"/>
        <c:axId val="30396898"/>
        <c:axId val="5136627"/>
      </c:bar3DChart>
      <c:catAx>
        <c:axId val="30396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36627"/>
        <c:crosses val="autoZero"/>
        <c:auto val="1"/>
        <c:lblOffset val="100"/>
        <c:tickLblSkip val="1"/>
        <c:noMultiLvlLbl val="0"/>
      </c:catAx>
      <c:valAx>
        <c:axId val="5136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968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362773.19999999995</c:v>
                </c:pt>
                <c:pt idx="1">
                  <c:v>173936.4</c:v>
                </c:pt>
                <c:pt idx="2">
                  <c:v>275218.9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296.09999999999997</c:v>
                </c:pt>
                <c:pt idx="7">
                  <c:v>3697.4999999999404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233439.09999999998</c:v>
                </c:pt>
                <c:pt idx="1">
                  <c:v>117885.90000000001</c:v>
                </c:pt>
                <c:pt idx="2">
                  <c:v>181280.19999999995</c:v>
                </c:pt>
                <c:pt idx="3">
                  <c:v>10.700000000000001</c:v>
                </c:pt>
                <c:pt idx="4">
                  <c:v>12111.099999999999</c:v>
                </c:pt>
                <c:pt idx="5">
                  <c:v>37361.9</c:v>
                </c:pt>
                <c:pt idx="6">
                  <c:v>195.49999999999997</c:v>
                </c:pt>
                <c:pt idx="7">
                  <c:v>2479.700000000026</c:v>
                </c:pt>
              </c:numCache>
            </c:numRef>
          </c:val>
          <c:shape val="box"/>
        </c:ser>
        <c:shape val="box"/>
        <c:axId val="46229644"/>
        <c:axId val="13413613"/>
      </c:bar3DChart>
      <c:catAx>
        <c:axId val="46229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413613"/>
        <c:crosses val="autoZero"/>
        <c:auto val="1"/>
        <c:lblOffset val="100"/>
        <c:tickLblSkip val="1"/>
        <c:noMultiLvlLbl val="0"/>
      </c:catAx>
      <c:valAx>
        <c:axId val="134136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296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244612.80000000002</c:v>
                </c:pt>
                <c:pt idx="1">
                  <c:v>186519.2</c:v>
                </c:pt>
                <c:pt idx="2">
                  <c:v>190875.1</c:v>
                </c:pt>
                <c:pt idx="3">
                  <c:v>12997.3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10336.000000000005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157827.89999999994</c:v>
                </c:pt>
                <c:pt idx="1">
                  <c:v>139972.1</c:v>
                </c:pt>
                <c:pt idx="2">
                  <c:v>126205.69999999997</c:v>
                </c:pt>
                <c:pt idx="3">
                  <c:v>6742.499999999999</c:v>
                </c:pt>
                <c:pt idx="4">
                  <c:v>2298.4999999999995</c:v>
                </c:pt>
                <c:pt idx="5">
                  <c:v>14305.399999999998</c:v>
                </c:pt>
                <c:pt idx="6">
                  <c:v>985.0999999999999</c:v>
                </c:pt>
                <c:pt idx="7">
                  <c:v>7290.69999999997</c:v>
                </c:pt>
              </c:numCache>
            </c:numRef>
          </c:val>
          <c:shape val="box"/>
        </c:ser>
        <c:shape val="box"/>
        <c:axId val="53613654"/>
        <c:axId val="12760839"/>
      </c:bar3DChart>
      <c:catAx>
        <c:axId val="53613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760839"/>
        <c:crosses val="autoZero"/>
        <c:auto val="1"/>
        <c:lblOffset val="100"/>
        <c:tickLblSkip val="1"/>
        <c:noMultiLvlLbl val="0"/>
      </c:catAx>
      <c:valAx>
        <c:axId val="127608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136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44795.899999999994</c:v>
                </c:pt>
                <c:pt idx="1">
                  <c:v>32171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9388.199999999993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30296.399999999998</c:v>
                </c:pt>
                <c:pt idx="1">
                  <c:v>21745.600000000002</c:v>
                </c:pt>
                <c:pt idx="2">
                  <c:v>1272.9</c:v>
                </c:pt>
                <c:pt idx="3">
                  <c:v>418.5</c:v>
                </c:pt>
                <c:pt idx="4">
                  <c:v>17</c:v>
                </c:pt>
                <c:pt idx="5">
                  <c:v>6842.399999999996</c:v>
                </c:pt>
              </c:numCache>
            </c:numRef>
          </c:val>
          <c:shape val="box"/>
        </c:ser>
        <c:shape val="box"/>
        <c:axId val="47738688"/>
        <c:axId val="26995009"/>
      </c:bar3DChart>
      <c:catAx>
        <c:axId val="47738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95009"/>
        <c:crosses val="autoZero"/>
        <c:auto val="1"/>
        <c:lblOffset val="100"/>
        <c:tickLblSkip val="1"/>
        <c:noMultiLvlLbl val="0"/>
      </c:catAx>
      <c:valAx>
        <c:axId val="269950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386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14847.6</c:v>
                </c:pt>
                <c:pt idx="1">
                  <c:v>9369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9250.100000000004</c:v>
                </c:pt>
                <c:pt idx="1">
                  <c:v>6071.8</c:v>
                </c:pt>
                <c:pt idx="3">
                  <c:v>128.20000000000002</c:v>
                </c:pt>
                <c:pt idx="4">
                  <c:v>417.60000000000014</c:v>
                </c:pt>
                <c:pt idx="5">
                  <c:v>2632.5000000000036</c:v>
                </c:pt>
              </c:numCache>
            </c:numRef>
          </c:val>
          <c:shape val="box"/>
        </c:ser>
        <c:shape val="box"/>
        <c:axId val="41628490"/>
        <c:axId val="39112091"/>
      </c:bar3DChart>
      <c:catAx>
        <c:axId val="41628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112091"/>
        <c:crosses val="autoZero"/>
        <c:auto val="1"/>
        <c:lblOffset val="100"/>
        <c:tickLblSkip val="2"/>
        <c:noMultiLvlLbl val="0"/>
      </c:catAx>
      <c:valAx>
        <c:axId val="39112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284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2668.1999999999994</c:v>
                </c:pt>
                <c:pt idx="1">
                  <c:v>1029.4999999999998</c:v>
                </c:pt>
                <c:pt idx="2">
                  <c:v>295.6</c:v>
                </c:pt>
                <c:pt idx="3">
                  <c:v>242.10000000000002</c:v>
                </c:pt>
                <c:pt idx="4">
                  <c:v>973.3</c:v>
                </c:pt>
                <c:pt idx="5">
                  <c:v>127.69999999999948</c:v>
                </c:pt>
              </c:numCache>
            </c:numRef>
          </c:val>
          <c:shape val="box"/>
        </c:ser>
        <c:shape val="box"/>
        <c:axId val="16464500"/>
        <c:axId val="13962773"/>
      </c:bar3DChart>
      <c:catAx>
        <c:axId val="16464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962773"/>
        <c:crosses val="autoZero"/>
        <c:auto val="1"/>
        <c:lblOffset val="100"/>
        <c:tickLblSkip val="1"/>
        <c:noMultiLvlLbl val="0"/>
      </c:catAx>
      <c:valAx>
        <c:axId val="13962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645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39302.40000000001</c:v>
                </c:pt>
              </c:numCache>
            </c:numRef>
          </c:val>
          <c:shape val="box"/>
        </c:ser>
        <c:shape val="box"/>
        <c:axId val="58556094"/>
        <c:axId val="57242799"/>
      </c:bar3DChart>
      <c:catAx>
        <c:axId val="58556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242799"/>
        <c:crosses val="autoZero"/>
        <c:auto val="1"/>
        <c:lblOffset val="100"/>
        <c:tickLblSkip val="1"/>
        <c:noMultiLvlLbl val="0"/>
      </c:catAx>
      <c:valAx>
        <c:axId val="572427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560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362773.19999999995</c:v>
                </c:pt>
                <c:pt idx="1">
                  <c:v>244612.80000000002</c:v>
                </c:pt>
                <c:pt idx="2">
                  <c:v>44795.899999999994</c:v>
                </c:pt>
                <c:pt idx="3">
                  <c:v>14847.6</c:v>
                </c:pt>
                <c:pt idx="4">
                  <c:v>5627</c:v>
                </c:pt>
                <c:pt idx="5">
                  <c:v>50453.5</c:v>
                </c:pt>
                <c:pt idx="6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233439.09999999998</c:v>
                </c:pt>
                <c:pt idx="1">
                  <c:v>157827.89999999994</c:v>
                </c:pt>
                <c:pt idx="2">
                  <c:v>30296.399999999998</c:v>
                </c:pt>
                <c:pt idx="3">
                  <c:v>9250.100000000004</c:v>
                </c:pt>
                <c:pt idx="4">
                  <c:v>2668.1999999999994</c:v>
                </c:pt>
                <c:pt idx="5">
                  <c:v>32498.499999999993</c:v>
                </c:pt>
                <c:pt idx="6">
                  <c:v>39302.40000000001</c:v>
                </c:pt>
              </c:numCache>
            </c:numRef>
          </c:val>
          <c:shape val="box"/>
        </c:ser>
        <c:shape val="box"/>
        <c:axId val="45423144"/>
        <c:axId val="6155113"/>
      </c:bar3DChart>
      <c:catAx>
        <c:axId val="45423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55113"/>
        <c:crosses val="autoZero"/>
        <c:auto val="1"/>
        <c:lblOffset val="100"/>
        <c:tickLblSkip val="1"/>
        <c:noMultiLvlLbl val="0"/>
      </c:catAx>
      <c:valAx>
        <c:axId val="61551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231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фінансування'!$A$148:$A$153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фінансування'!$C$148:$C$153</c:f>
              <c:numCache>
                <c:ptCount val="6"/>
                <c:pt idx="0">
                  <c:v>558041.7</c:v>
                </c:pt>
                <c:pt idx="1">
                  <c:v>99794.5</c:v>
                </c:pt>
                <c:pt idx="2">
                  <c:v>25986.7</c:v>
                </c:pt>
                <c:pt idx="3">
                  <c:v>15605.2</c:v>
                </c:pt>
                <c:pt idx="4">
                  <c:v>13124.6</c:v>
                </c:pt>
                <c:pt idx="5">
                  <c:v>255958.0000000001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фінансування'!$A$148:$A$153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фінансування'!$D$148:$D$153</c:f>
              <c:numCache>
                <c:ptCount val="6"/>
                <c:pt idx="0">
                  <c:v>369154.89999999997</c:v>
                </c:pt>
                <c:pt idx="1">
                  <c:v>58322</c:v>
                </c:pt>
                <c:pt idx="2">
                  <c:v>14867.1</c:v>
                </c:pt>
                <c:pt idx="3">
                  <c:v>6772.2</c:v>
                </c:pt>
                <c:pt idx="4">
                  <c:v>6824.199999999999</c:v>
                </c:pt>
                <c:pt idx="5">
                  <c:v>189720.007</c:v>
                </c:pt>
              </c:numCache>
            </c:numRef>
          </c:val>
          <c:shape val="box"/>
        </c:ser>
        <c:shape val="box"/>
        <c:axId val="55396018"/>
        <c:axId val="28802115"/>
      </c:bar3DChart>
      <c:catAx>
        <c:axId val="55396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802115"/>
        <c:crosses val="autoZero"/>
        <c:auto val="1"/>
        <c:lblOffset val="100"/>
        <c:tickLblSkip val="1"/>
        <c:noMultiLvlLbl val="0"/>
      </c:catAx>
      <c:valAx>
        <c:axId val="288021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960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44" sqref="C144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6" t="s">
        <v>118</v>
      </c>
      <c r="B1" s="136"/>
      <c r="C1" s="136"/>
      <c r="D1" s="136"/>
      <c r="E1" s="136"/>
      <c r="F1" s="136"/>
      <c r="G1" s="136"/>
      <c r="H1" s="136"/>
      <c r="I1" s="136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0" t="s">
        <v>49</v>
      </c>
      <c r="B3" s="137" t="s">
        <v>115</v>
      </c>
      <c r="C3" s="137" t="s">
        <v>102</v>
      </c>
      <c r="D3" s="137" t="s">
        <v>28</v>
      </c>
      <c r="E3" s="137" t="s">
        <v>27</v>
      </c>
      <c r="F3" s="137" t="s">
        <v>116</v>
      </c>
      <c r="G3" s="137" t="s">
        <v>103</v>
      </c>
      <c r="H3" s="137" t="s">
        <v>117</v>
      </c>
      <c r="I3" s="137" t="s">
        <v>104</v>
      </c>
    </row>
    <row r="4" spans="1:9" ht="24.75" customHeight="1">
      <c r="A4" s="141"/>
      <c r="B4" s="138"/>
      <c r="C4" s="138"/>
      <c r="D4" s="138"/>
      <c r="E4" s="138"/>
      <c r="F4" s="138"/>
      <c r="G4" s="138"/>
      <c r="H4" s="138"/>
      <c r="I4" s="138"/>
    </row>
    <row r="5" spans="1:9" ht="39" customHeight="1" thickBot="1">
      <c r="A5" s="142"/>
      <c r="B5" s="139"/>
      <c r="C5" s="139"/>
      <c r="D5" s="139"/>
      <c r="E5" s="139"/>
      <c r="F5" s="139"/>
      <c r="G5" s="139"/>
      <c r="H5" s="139"/>
      <c r="I5" s="139"/>
    </row>
    <row r="6" spans="1:9" ht="18.75" thickBot="1">
      <c r="A6" s="28" t="s">
        <v>33</v>
      </c>
      <c r="B6" s="52">
        <f>264426.2+164+99.1</f>
        <v>264689.3</v>
      </c>
      <c r="C6" s="53">
        <f>336144.8+1363.8+2002.1+1+23261.5+164+251.8</f>
        <v>363188.99999999994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+467.1+1.3+0.6</f>
        <v>233908.09999999998</v>
      </c>
      <c r="E6" s="3">
        <f>D6/D147*100</f>
        <v>35.884347094419</v>
      </c>
      <c r="F6" s="3">
        <f>D6/B6*100</f>
        <v>88.37081816303115</v>
      </c>
      <c r="G6" s="3">
        <f aca="true" t="shared" si="0" ref="G6:G43">D6/C6*100</f>
        <v>64.40396047237114</v>
      </c>
      <c r="H6" s="3">
        <f>B6-D6</f>
        <v>30781.20000000001</v>
      </c>
      <c r="I6" s="3">
        <f aca="true" t="shared" si="1" ref="I6:I43">C6-D6</f>
        <v>129280.89999999997</v>
      </c>
    </row>
    <row r="7" spans="1:9" s="44" customFormat="1" ht="18.75">
      <c r="A7" s="117" t="s">
        <v>105</v>
      </c>
      <c r="B7" s="109">
        <v>132170</v>
      </c>
      <c r="C7" s="106">
        <v>173936.4</v>
      </c>
      <c r="D7" s="118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</f>
        <v>118226.00000000001</v>
      </c>
      <c r="E7" s="107">
        <f>D7/D6*100</f>
        <v>50.54378193829117</v>
      </c>
      <c r="F7" s="107">
        <f>D7/B7*100</f>
        <v>89.44995082091248</v>
      </c>
      <c r="G7" s="107">
        <f>D7/C7*100</f>
        <v>67.97082151867005</v>
      </c>
      <c r="H7" s="107">
        <f>B7-D7</f>
        <v>13943.999999999985</v>
      </c>
      <c r="I7" s="107">
        <f t="shared" si="1"/>
        <v>55710.39999999998</v>
      </c>
    </row>
    <row r="8" spans="1:9" ht="18">
      <c r="A8" s="29" t="s">
        <v>3</v>
      </c>
      <c r="B8" s="49">
        <f>200229.4+21.4+50.9</f>
        <v>200301.69999999998</v>
      </c>
      <c r="C8" s="50">
        <f>251964.7+23254.2+21.4+203.6</f>
        <v>275443.9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</f>
        <v>181280.19999999995</v>
      </c>
      <c r="E8" s="1">
        <f>D8/D6*100</f>
        <v>77.50060814482268</v>
      </c>
      <c r="F8" s="1">
        <f>D8/B8*100</f>
        <v>90.5035753565746</v>
      </c>
      <c r="G8" s="1">
        <f t="shared" si="0"/>
        <v>65.81383722783475</v>
      </c>
      <c r="H8" s="1">
        <f>B8-D8</f>
        <v>19021.50000000003</v>
      </c>
      <c r="I8" s="1">
        <f t="shared" si="1"/>
        <v>94163.70000000007</v>
      </c>
    </row>
    <row r="9" spans="1:9" ht="18">
      <c r="A9" s="29" t="s">
        <v>2</v>
      </c>
      <c r="B9" s="49">
        <v>35.9</v>
      </c>
      <c r="C9" s="50">
        <v>45.2</v>
      </c>
      <c r="D9" s="51">
        <f>0.3+0.2+0.7+0.8+2+0.3+3.5+1.2+0.3+0.4+0.8+0.2+2.9+0.6</f>
        <v>14.200000000000001</v>
      </c>
      <c r="E9" s="12">
        <f>D9/D6*100</f>
        <v>0.00607076026866962</v>
      </c>
      <c r="F9" s="135">
        <f>D9/B9*100</f>
        <v>39.55431754874652</v>
      </c>
      <c r="G9" s="1">
        <f t="shared" si="0"/>
        <v>31.41592920353982</v>
      </c>
      <c r="H9" s="1">
        <f aca="true" t="shared" si="2" ref="H9:H43">B9-D9</f>
        <v>21.699999999999996</v>
      </c>
      <c r="I9" s="1">
        <f t="shared" si="1"/>
        <v>31</v>
      </c>
    </row>
    <row r="10" spans="1:9" ht="18">
      <c r="A10" s="29" t="s">
        <v>1</v>
      </c>
      <c r="B10" s="49">
        <v>15339.7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+4.8+2.7+32.5+356.6+447.8+265.2+233.6+277</f>
        <v>12388.099999999999</v>
      </c>
      <c r="E10" s="1">
        <f>D10/D6*100</f>
        <v>5.296139808753951</v>
      </c>
      <c r="F10" s="1">
        <f aca="true" t="shared" si="3" ref="F10:F41">D10/B10*100</f>
        <v>80.75842421950884</v>
      </c>
      <c r="G10" s="1">
        <f t="shared" si="0"/>
        <v>56.03041212866808</v>
      </c>
      <c r="H10" s="1">
        <f t="shared" si="2"/>
        <v>2951.600000000002</v>
      </c>
      <c r="I10" s="1">
        <f t="shared" si="1"/>
        <v>9721.5</v>
      </c>
    </row>
    <row r="11" spans="1:9" ht="18">
      <c r="A11" s="29" t="s">
        <v>0</v>
      </c>
      <c r="B11" s="49">
        <v>45172.8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+18.2+1.2+4.7+141.4+64.6+0.2+86+1.3</f>
        <v>37449.200000000004</v>
      </c>
      <c r="E11" s="1">
        <f>D11/D6*100</f>
        <v>16.010219398131152</v>
      </c>
      <c r="F11" s="1">
        <f t="shared" si="3"/>
        <v>82.90210037898913</v>
      </c>
      <c r="G11" s="1">
        <f t="shared" si="0"/>
        <v>60.98632216122556</v>
      </c>
      <c r="H11" s="1">
        <f t="shared" si="2"/>
        <v>7723.5999999999985</v>
      </c>
      <c r="I11" s="1">
        <f t="shared" si="1"/>
        <v>23956.69999999999</v>
      </c>
    </row>
    <row r="12" spans="1:9" ht="18">
      <c r="A12" s="29" t="s">
        <v>15</v>
      </c>
      <c r="B12" s="49">
        <f>248.6-21.4</f>
        <v>227.2</v>
      </c>
      <c r="C12" s="50">
        <f>286.2+9.9-21.4</f>
        <v>274.7</v>
      </c>
      <c r="D12" s="51">
        <f>3.8+3.8+12.7+7.4+5+16.3+3.8+110.9+3.8+1.2+5.4+9.9+1.2+1.2+9.1+1.2</f>
        <v>196.69999999999996</v>
      </c>
      <c r="E12" s="1">
        <f>D12/D6*100</f>
        <v>0.0840928552709376</v>
      </c>
      <c r="F12" s="1">
        <f t="shared" si="3"/>
        <v>86.5757042253521</v>
      </c>
      <c r="G12" s="1">
        <f t="shared" si="0"/>
        <v>71.60538769566799</v>
      </c>
      <c r="H12" s="1">
        <f t="shared" si="2"/>
        <v>30.50000000000003</v>
      </c>
      <c r="I12" s="1">
        <f t="shared" si="1"/>
        <v>78.00000000000003</v>
      </c>
    </row>
    <row r="13" spans="1:9" ht="18.75" thickBot="1">
      <c r="A13" s="29" t="s">
        <v>34</v>
      </c>
      <c r="B13" s="50">
        <f>B6-B8-B9-B10-B11-B12</f>
        <v>3611.9999999999973</v>
      </c>
      <c r="C13" s="50">
        <f>C6-C8-C9-C10-C11-C12</f>
        <v>3909.699999999936</v>
      </c>
      <c r="D13" s="50">
        <f>D6-D8-D9-D10-D11-D12</f>
        <v>2579.7000000000235</v>
      </c>
      <c r="E13" s="1">
        <f>D13/D6*100</f>
        <v>1.102869032752617</v>
      </c>
      <c r="F13" s="1">
        <f t="shared" si="3"/>
        <v>71.4202657807316</v>
      </c>
      <c r="G13" s="1">
        <f t="shared" si="0"/>
        <v>65.9820446581596</v>
      </c>
      <c r="H13" s="1">
        <f t="shared" si="2"/>
        <v>1032.2999999999738</v>
      </c>
      <c r="I13" s="1">
        <f t="shared" si="1"/>
        <v>1329.9999999999127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175932.3</f>
        <v>175932.3</v>
      </c>
      <c r="C18" s="53">
        <f>225678.2+490.7+518-0.1+17926</f>
        <v>244612.80000000002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</f>
        <v>158388.69999999992</v>
      </c>
      <c r="E18" s="3">
        <f>D18/D147*100</f>
        <v>24.2987527436365</v>
      </c>
      <c r="F18" s="3">
        <f>D18/B18*100</f>
        <v>90.02820971475957</v>
      </c>
      <c r="G18" s="3">
        <f t="shared" si="0"/>
        <v>64.75078164347896</v>
      </c>
      <c r="H18" s="3">
        <f>B18-D18</f>
        <v>17543.600000000064</v>
      </c>
      <c r="I18" s="3">
        <f t="shared" si="1"/>
        <v>86224.1000000001</v>
      </c>
    </row>
    <row r="19" spans="1:9" s="44" customFormat="1" ht="18.75">
      <c r="A19" s="117" t="s">
        <v>106</v>
      </c>
      <c r="B19" s="109">
        <v>151067.9</v>
      </c>
      <c r="C19" s="106">
        <v>186519.2</v>
      </c>
      <c r="D19" s="118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</f>
        <v>139972.1</v>
      </c>
      <c r="E19" s="107">
        <f>D19/D18*100</f>
        <v>88.37252910087656</v>
      </c>
      <c r="F19" s="107">
        <f t="shared" si="3"/>
        <v>92.65509085649566</v>
      </c>
      <c r="G19" s="107">
        <f t="shared" si="0"/>
        <v>75.04433859892173</v>
      </c>
      <c r="H19" s="107">
        <f t="shared" si="2"/>
        <v>11095.799999999988</v>
      </c>
      <c r="I19" s="107">
        <f t="shared" si="1"/>
        <v>46547.100000000006</v>
      </c>
    </row>
    <row r="20" spans="1:9" ht="18">
      <c r="A20" s="29" t="s">
        <v>5</v>
      </c>
      <c r="B20" s="49">
        <v>139358.4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</f>
        <v>126205.69999999997</v>
      </c>
      <c r="E20" s="1">
        <f>D20/D18*100</f>
        <v>79.68099997032618</v>
      </c>
      <c r="F20" s="1">
        <f t="shared" si="3"/>
        <v>90.5619611017348</v>
      </c>
      <c r="G20" s="1">
        <f t="shared" si="0"/>
        <v>66.11952004216369</v>
      </c>
      <c r="H20" s="1">
        <f t="shared" si="2"/>
        <v>13152.700000000026</v>
      </c>
      <c r="I20" s="1">
        <f t="shared" si="1"/>
        <v>64669.40000000004</v>
      </c>
    </row>
    <row r="21" spans="1:9" ht="18">
      <c r="A21" s="29" t="s">
        <v>2</v>
      </c>
      <c r="B21" s="49">
        <v>9524.9</v>
      </c>
      <c r="C21" s="50">
        <f>12491.1+200.3+305.9</f>
        <v>12997.3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+68.2+462.1+183.9+21.9+63.8+132.1+76.2+180.9+249.3+128.5+183</f>
        <v>7303.299999999999</v>
      </c>
      <c r="E21" s="1">
        <f>D21/D18*100</f>
        <v>4.610998133073889</v>
      </c>
      <c r="F21" s="1">
        <f t="shared" si="3"/>
        <v>76.67587061281482</v>
      </c>
      <c r="G21" s="1">
        <f t="shared" si="0"/>
        <v>56.190901187169636</v>
      </c>
      <c r="H21" s="1">
        <f t="shared" si="2"/>
        <v>2221.6000000000004</v>
      </c>
      <c r="I21" s="1">
        <f t="shared" si="1"/>
        <v>5694</v>
      </c>
    </row>
    <row r="22" spans="1:9" ht="18">
      <c r="A22" s="29" t="s">
        <v>1</v>
      </c>
      <c r="B22" s="49">
        <v>2450.6</v>
      </c>
      <c r="C22" s="50">
        <v>3253.3</v>
      </c>
      <c r="D22" s="51">
        <f>173.9+19+7.6+19.5+89.8+0.1+92.4+48.6+202.1+56.1+96.9+242.1+36.1+19.2+171.7+0.1+22.2+39+81.6+82+84.2+0.1+30.3-30.3+115.9+98.3+38+4.5+18.6+10.9+19.7+48.1+4+8.7+43.6+162.2+10.7+30.1+34.4+4.8+5.9+39.2+16.6</f>
        <v>2298.4999999999995</v>
      </c>
      <c r="E22" s="1">
        <f>D22/D18*100</f>
        <v>1.4511767569277358</v>
      </c>
      <c r="F22" s="1">
        <f t="shared" si="3"/>
        <v>93.79335672896431</v>
      </c>
      <c r="G22" s="1">
        <f t="shared" si="0"/>
        <v>70.65133864076475</v>
      </c>
      <c r="H22" s="1">
        <f t="shared" si="2"/>
        <v>152.10000000000036</v>
      </c>
      <c r="I22" s="1">
        <f t="shared" si="1"/>
        <v>954.8000000000006</v>
      </c>
    </row>
    <row r="23" spans="1:9" ht="18">
      <c r="A23" s="29" t="s">
        <v>0</v>
      </c>
      <c r="B23" s="49">
        <v>15199.7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</f>
        <v>14305.399999999998</v>
      </c>
      <c r="E23" s="1">
        <f>D23/D18*100</f>
        <v>9.031831184926705</v>
      </c>
      <c r="F23" s="1">
        <f t="shared" si="3"/>
        <v>94.11633124337978</v>
      </c>
      <c r="G23" s="1">
        <f t="shared" si="0"/>
        <v>55.830308707021025</v>
      </c>
      <c r="H23" s="1">
        <f t="shared" si="2"/>
        <v>894.3000000000029</v>
      </c>
      <c r="I23" s="1">
        <f t="shared" si="1"/>
        <v>11317.600000000002</v>
      </c>
    </row>
    <row r="24" spans="1:9" ht="18">
      <c r="A24" s="29" t="s">
        <v>15</v>
      </c>
      <c r="B24" s="49">
        <v>1036.5</v>
      </c>
      <c r="C24" s="50">
        <v>1528.1</v>
      </c>
      <c r="D24" s="51">
        <f>111+58.1+166.1+55.7+24.9+10.1-0.1+89.8+44.2+0.1+106.9+106.7+78.8+27.8+48.4+56.6</f>
        <v>985.0999999999999</v>
      </c>
      <c r="E24" s="1">
        <f>D24/D18*100</f>
        <v>0.6219509346310692</v>
      </c>
      <c r="F24" s="1">
        <f t="shared" si="3"/>
        <v>95.04100337674866</v>
      </c>
      <c r="G24" s="1">
        <f t="shared" si="0"/>
        <v>64.46567633008311</v>
      </c>
      <c r="H24" s="1">
        <f t="shared" si="2"/>
        <v>51.40000000000009</v>
      </c>
      <c r="I24" s="1">
        <f t="shared" si="1"/>
        <v>543</v>
      </c>
    </row>
    <row r="25" spans="1:9" ht="18.75" thickBot="1">
      <c r="A25" s="29" t="s">
        <v>34</v>
      </c>
      <c r="B25" s="50">
        <f>B18-B20-B21-B22-B23-B24</f>
        <v>8362.199999999993</v>
      </c>
      <c r="C25" s="50">
        <f>C18-C20-C21-C22-C23-C24</f>
        <v>10336.000000000005</v>
      </c>
      <c r="D25" s="50">
        <f>D18-D20-D21-D22-D23-D24</f>
        <v>7290.699999999959</v>
      </c>
      <c r="E25" s="1">
        <f>D25/D18*100</f>
        <v>4.603043020114416</v>
      </c>
      <c r="F25" s="1">
        <f t="shared" si="3"/>
        <v>87.18638635765666</v>
      </c>
      <c r="G25" s="1">
        <f t="shared" si="0"/>
        <v>70.53695820433393</v>
      </c>
      <c r="H25" s="1">
        <f t="shared" si="2"/>
        <v>1071.5000000000346</v>
      </c>
      <c r="I25" s="1">
        <f t="shared" si="1"/>
        <v>3045.3000000000466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33729.2+99.9</f>
        <v>33829.1</v>
      </c>
      <c r="C33" s="53">
        <f>41831.7+164.1+250.5+5+2544.6+99.9</f>
        <v>44895.799999999996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</f>
        <v>30324.499999999996</v>
      </c>
      <c r="E33" s="3">
        <f>D33/D147*100</f>
        <v>4.652147075987146</v>
      </c>
      <c r="F33" s="3">
        <f>D33/B33*100</f>
        <v>89.64028011386645</v>
      </c>
      <c r="G33" s="3">
        <f t="shared" si="0"/>
        <v>67.54418007920563</v>
      </c>
      <c r="H33" s="3">
        <f t="shared" si="2"/>
        <v>3504.600000000002</v>
      </c>
      <c r="I33" s="3">
        <f t="shared" si="1"/>
        <v>14571.3</v>
      </c>
    </row>
    <row r="34" spans="1:9" ht="18">
      <c r="A34" s="29" t="s">
        <v>3</v>
      </c>
      <c r="B34" s="49">
        <v>24427.9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1216.2+1064.6-0.1+1185.2+1240.8+0.1+1202.8+1206.8+1191.1+1224.7+5.8+1196.2+1414.6+52.8+4003.5+27.3+1811.7+0.1+103.5+404.5+5.7+308.6+119.4+352.5+1116.3+2.5+53.9+1234.5</f>
        <v>21745.600000000002</v>
      </c>
      <c r="E34" s="1">
        <f>D34/D33*100</f>
        <v>71.70967369618627</v>
      </c>
      <c r="F34" s="1">
        <f t="shared" si="3"/>
        <v>89.01952275881267</v>
      </c>
      <c r="G34" s="1">
        <f t="shared" si="0"/>
        <v>67.59379565447142</v>
      </c>
      <c r="H34" s="1">
        <f t="shared" si="2"/>
        <v>2682.2999999999993</v>
      </c>
      <c r="I34" s="1">
        <f t="shared" si="1"/>
        <v>10425.399999999998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1665.7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</f>
        <v>1273.3000000000002</v>
      </c>
      <c r="E36" s="1">
        <f>D36/D33*100</f>
        <v>4.198915068673846</v>
      </c>
      <c r="F36" s="1">
        <f t="shared" si="3"/>
        <v>76.44233655520203</v>
      </c>
      <c r="G36" s="1">
        <f t="shared" si="0"/>
        <v>47.61780104712043</v>
      </c>
      <c r="H36" s="1">
        <f t="shared" si="2"/>
        <v>392.39999999999986</v>
      </c>
      <c r="I36" s="1">
        <f t="shared" si="1"/>
        <v>1400.6999999999998</v>
      </c>
    </row>
    <row r="37" spans="1:9" s="44" customFormat="1" ht="18.75">
      <c r="A37" s="23" t="s">
        <v>7</v>
      </c>
      <c r="B37" s="58">
        <f>477.3+99.9</f>
        <v>577.2</v>
      </c>
      <c r="C37" s="59">
        <f>493.5+22+99.9</f>
        <v>615.4</v>
      </c>
      <c r="D37" s="60">
        <f>19+12.3+0.1+11.9+3.2+10.7+22.4+14.8+37.3+30.8+8.3+7.2+2+25.1+13.4+51+75.3+5+2.8+24.5+38+3.4</f>
        <v>418.5</v>
      </c>
      <c r="E37" s="19">
        <f>D37/D33*100</f>
        <v>1.380072218832957</v>
      </c>
      <c r="F37" s="19">
        <f t="shared" si="3"/>
        <v>72.5051975051975</v>
      </c>
      <c r="G37" s="19">
        <f t="shared" si="0"/>
        <v>68.00454988625285</v>
      </c>
      <c r="H37" s="19">
        <f t="shared" si="2"/>
        <v>158.70000000000005</v>
      </c>
      <c r="I37" s="19">
        <f t="shared" si="1"/>
        <v>196.89999999999998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0.056060281290705546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34</v>
      </c>
      <c r="B39" s="49">
        <f>B33-B34-B36-B37-B35-B38</f>
        <v>7121.299999999997</v>
      </c>
      <c r="C39" s="49">
        <f>C33-C34-C36-C37-C35-C38</f>
        <v>9388.199999999995</v>
      </c>
      <c r="D39" s="49">
        <f>D33-D34-D36-D37-D35-D38</f>
        <v>6870.099999999994</v>
      </c>
      <c r="E39" s="1">
        <f>D39/D33*100</f>
        <v>22.655278735016225</v>
      </c>
      <c r="F39" s="1">
        <f t="shared" si="3"/>
        <v>96.47255416848043</v>
      </c>
      <c r="G39" s="1">
        <f t="shared" si="0"/>
        <v>73.178031997614</v>
      </c>
      <c r="H39" s="1">
        <f>B39-D39</f>
        <v>251.20000000000346</v>
      </c>
      <c r="I39" s="1">
        <f t="shared" si="1"/>
        <v>2518.1000000000013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f>622.6+3</f>
        <v>625.6</v>
      </c>
      <c r="C43" s="53">
        <f>768.4+32.5+15+3+3</f>
        <v>821.9</v>
      </c>
      <c r="D43" s="54">
        <f>17.7+12.2+11.2+51.1+0.8+30+0.1+18.9+27.3+43.7+9+5.4+5.6+7.8+24.4+6.4-0.1+26.1+70.2+6+6+27.3+26.1+5.1+3+1+25.2+2+11+3.6+29+1+5+4.7</f>
        <v>523.8000000000001</v>
      </c>
      <c r="E43" s="3">
        <f>D43/D147*100</f>
        <v>0.0803572899273547</v>
      </c>
      <c r="F43" s="3">
        <f>D43/B43*100</f>
        <v>83.72762148337597</v>
      </c>
      <c r="G43" s="3">
        <f t="shared" si="0"/>
        <v>63.73038082491789</v>
      </c>
      <c r="H43" s="3">
        <f t="shared" si="2"/>
        <v>101.79999999999995</v>
      </c>
      <c r="I43" s="3">
        <f t="shared" si="1"/>
        <v>298.0999999999999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v>5324.1</v>
      </c>
      <c r="C45" s="53">
        <f>6659.3+87.1+1.5+764.6</f>
        <v>7512.500000000001</v>
      </c>
      <c r="D45" s="54">
        <f>193+223+8.7+101.1+200.9+9+241+299.2+7.6+43.6+283.1+0.8+48.7+276.1+3.4+2.2+253.5+5+282+1.9+4.8+3.2+261.3+0.5+265.1+0.7+6.9+276.6+1.6+124.9+209.3+1.9+2.9+4.7+268.2+52.2+128+106.4+2.5+2.2+206.7+137.5+253.2+11.2</f>
        <v>4816.299999999998</v>
      </c>
      <c r="E45" s="3">
        <f>D45/D147*100</f>
        <v>0.7388789909834255</v>
      </c>
      <c r="F45" s="3">
        <f>D45/B45*100</f>
        <v>90.4622377491031</v>
      </c>
      <c r="G45" s="3">
        <f aca="true" t="shared" si="4" ref="G45:G75">D45/C45*100</f>
        <v>64.1104825291181</v>
      </c>
      <c r="H45" s="3">
        <f>B45-D45</f>
        <v>507.800000000002</v>
      </c>
      <c r="I45" s="3">
        <f aca="true" t="shared" si="5" ref="I45:I76">C45-D45</f>
        <v>2696.2000000000025</v>
      </c>
    </row>
    <row r="46" spans="1:9" ht="18">
      <c r="A46" s="29" t="s">
        <v>3</v>
      </c>
      <c r="B46" s="49">
        <v>4648.9</v>
      </c>
      <c r="C46" s="50">
        <f>5755.9+764.6</f>
        <v>6520.5</v>
      </c>
      <c r="D46" s="51">
        <f>193+222.7+1.6+196.4+240.9+0.1+199.7+265.9+214+253.1+238.6+255.9+243.9+273.5+83.6+206+267.9+52.2+106.2+102.2+205.5+137.5+232.3</f>
        <v>4192.7</v>
      </c>
      <c r="E46" s="1">
        <f>D46/D45*100</f>
        <v>87.05230155928828</v>
      </c>
      <c r="F46" s="1">
        <f aca="true" t="shared" si="6" ref="F46:F73">D46/B46*100</f>
        <v>90.18692593946955</v>
      </c>
      <c r="G46" s="1">
        <f t="shared" si="4"/>
        <v>64.30028372057357</v>
      </c>
      <c r="H46" s="1">
        <f aca="true" t="shared" si="7" ref="H46:H73">B46-D46</f>
        <v>456.1999999999998</v>
      </c>
      <c r="I46" s="1">
        <f t="shared" si="5"/>
        <v>2327.8</v>
      </c>
    </row>
    <row r="47" spans="1:9" ht="18">
      <c r="A47" s="29" t="s">
        <v>2</v>
      </c>
      <c r="B47" s="49">
        <v>1</v>
      </c>
      <c r="C47" s="50">
        <v>1.2</v>
      </c>
      <c r="D47" s="51">
        <f>0.3+0.4+0.3</f>
        <v>1</v>
      </c>
      <c r="E47" s="1">
        <f>D47/D45*100</f>
        <v>0.02076282623590724</v>
      </c>
      <c r="F47" s="1">
        <f t="shared" si="6"/>
        <v>100</v>
      </c>
      <c r="G47" s="1">
        <f t="shared" si="4"/>
        <v>83.33333333333334</v>
      </c>
      <c r="H47" s="1">
        <f t="shared" si="7"/>
        <v>0</v>
      </c>
      <c r="I47" s="1">
        <f t="shared" si="5"/>
        <v>0.19999999999999996</v>
      </c>
    </row>
    <row r="48" spans="1:9" ht="18">
      <c r="A48" s="29" t="s">
        <v>1</v>
      </c>
      <c r="B48" s="49">
        <v>41.5</v>
      </c>
      <c r="C48" s="50">
        <v>60.2</v>
      </c>
      <c r="D48" s="51">
        <f>3.8+1+5.7-0.1+1.3+4.1-0.1+4.6+1.1+4.8+5.5+2</f>
        <v>33.7</v>
      </c>
      <c r="E48" s="1">
        <f>D48/D45*100</f>
        <v>0.699707244150074</v>
      </c>
      <c r="F48" s="1">
        <f t="shared" si="6"/>
        <v>81.20481927710844</v>
      </c>
      <c r="G48" s="1">
        <f t="shared" si="4"/>
        <v>55.98006644518273</v>
      </c>
      <c r="H48" s="1">
        <f t="shared" si="7"/>
        <v>7.799999999999997</v>
      </c>
      <c r="I48" s="1">
        <f t="shared" si="5"/>
        <v>26.5</v>
      </c>
    </row>
    <row r="49" spans="1:9" ht="18">
      <c r="A49" s="29" t="s">
        <v>0</v>
      </c>
      <c r="B49" s="49">
        <v>323.2</v>
      </c>
      <c r="C49" s="50">
        <v>538.3</v>
      </c>
      <c r="D49" s="51">
        <f>4.7+90.3+4.8+67.1+3.1+1.1+45.6+36.3+2.7+2+0.1+34.4+3.4+0.5+2.5+1.1+0.5+0.5+1.4+1.1+0.5+1.9+0.9+0.4+1.5</f>
        <v>308.39999999999986</v>
      </c>
      <c r="E49" s="1">
        <f>D49/D45*100</f>
        <v>6.4032556111537895</v>
      </c>
      <c r="F49" s="1">
        <f t="shared" si="6"/>
        <v>95.42079207920789</v>
      </c>
      <c r="G49" s="1">
        <f t="shared" si="4"/>
        <v>57.29147315623256</v>
      </c>
      <c r="H49" s="1">
        <f t="shared" si="7"/>
        <v>14.800000000000125</v>
      </c>
      <c r="I49" s="1">
        <f t="shared" si="5"/>
        <v>229.9000000000001</v>
      </c>
    </row>
    <row r="50" spans="1:9" ht="18.75" thickBot="1">
      <c r="A50" s="29" t="s">
        <v>34</v>
      </c>
      <c r="B50" s="50">
        <f>B45-B46-B49-B48-B47</f>
        <v>309.50000000000074</v>
      </c>
      <c r="C50" s="50">
        <f>C45-C46-C49-C48-C47</f>
        <v>392.300000000001</v>
      </c>
      <c r="D50" s="50">
        <f>D45-D46-D49-D48-D47</f>
        <v>280.4999999999987</v>
      </c>
      <c r="E50" s="1">
        <f>D50/D45*100</f>
        <v>5.823972759171953</v>
      </c>
      <c r="F50" s="1">
        <f t="shared" si="6"/>
        <v>90.63004846526593</v>
      </c>
      <c r="G50" s="1">
        <f t="shared" si="4"/>
        <v>71.50140198827377</v>
      </c>
      <c r="H50" s="1">
        <f t="shared" si="7"/>
        <v>29.000000000002046</v>
      </c>
      <c r="I50" s="1">
        <f t="shared" si="5"/>
        <v>111.80000000000229</v>
      </c>
    </row>
    <row r="51" spans="1:9" ht="18.75" thickBot="1">
      <c r="A51" s="28" t="s">
        <v>4</v>
      </c>
      <c r="B51" s="52">
        <f>10803.3+12.5+26.8</f>
        <v>10842.599999999999</v>
      </c>
      <c r="C51" s="53">
        <f>13881+326.7+639.9+50+160.7</f>
        <v>15058.300000000001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</f>
        <v>9266.000000000004</v>
      </c>
      <c r="E51" s="3">
        <f>D51/D147*100</f>
        <v>1.4215170837473632</v>
      </c>
      <c r="F51" s="3">
        <f>D51/B51*100</f>
        <v>85.45920720122484</v>
      </c>
      <c r="G51" s="3">
        <f t="shared" si="4"/>
        <v>61.53417052389714</v>
      </c>
      <c r="H51" s="3">
        <f>B51-D51</f>
        <v>1576.599999999995</v>
      </c>
      <c r="I51" s="3">
        <f t="shared" si="5"/>
        <v>5792.299999999997</v>
      </c>
    </row>
    <row r="52" spans="1:9" ht="18">
      <c r="A52" s="29" t="s">
        <v>3</v>
      </c>
      <c r="B52" s="49">
        <f>6690.7+16.9</f>
        <v>6707.599999999999</v>
      </c>
      <c r="C52" s="50">
        <f>8729.1+639.9+67.5</f>
        <v>9436.5</v>
      </c>
      <c r="D52" s="51">
        <f>260.4+390.2+0.1+271.7+395.7-0.1+282.9+391.4+0.1+7.8+263.9+397.2+272.6+486-0.1+358+766.6-0.1+295.1+13.6+394.1+219.2+320.5+285</f>
        <v>6071.8</v>
      </c>
      <c r="E52" s="1">
        <f>D52/D51*100</f>
        <v>65.52773580833151</v>
      </c>
      <c r="F52" s="1">
        <f t="shared" si="6"/>
        <v>90.52119983302524</v>
      </c>
      <c r="G52" s="1">
        <f t="shared" si="4"/>
        <v>64.34377152545966</v>
      </c>
      <c r="H52" s="1">
        <f t="shared" si="7"/>
        <v>635.7999999999993</v>
      </c>
      <c r="I52" s="1">
        <f t="shared" si="5"/>
        <v>3364.7</v>
      </c>
    </row>
    <row r="53" spans="1:9" ht="18">
      <c r="A53" s="29" t="s">
        <v>2</v>
      </c>
      <c r="B53" s="49">
        <v>4.3</v>
      </c>
      <c r="C53" s="50">
        <v>10.9</v>
      </c>
      <c r="D53" s="51">
        <f>1.4</f>
        <v>1.4</v>
      </c>
      <c r="E53" s="1">
        <f>D53/D51*100</f>
        <v>0.015109000647528592</v>
      </c>
      <c r="F53" s="1">
        <f t="shared" si="6"/>
        <v>32.558139534883715</v>
      </c>
      <c r="G53" s="1">
        <f t="shared" si="4"/>
        <v>12.844036697247704</v>
      </c>
      <c r="H53" s="1">
        <f t="shared" si="7"/>
        <v>2.9</v>
      </c>
      <c r="I53" s="1">
        <f t="shared" si="5"/>
        <v>9.5</v>
      </c>
    </row>
    <row r="54" spans="1:9" ht="18">
      <c r="A54" s="29" t="s">
        <v>1</v>
      </c>
      <c r="B54" s="49">
        <v>186.1</v>
      </c>
      <c r="C54" s="50">
        <f>189.7+74</f>
        <v>263.7</v>
      </c>
      <c r="D54" s="51">
        <f>1.7+1.5+4.6+9.7+8-0.1+0.1+5.9+12.1+0.1+17.6+12.8+4+10.7+8.4+14.1+1.9+4.9+0.7+2.4+2.3+3.8+1+1.4</f>
        <v>129.60000000000002</v>
      </c>
      <c r="E54" s="1">
        <f>D54/D51*100</f>
        <v>1.3986617742283614</v>
      </c>
      <c r="F54" s="1">
        <f t="shared" si="6"/>
        <v>69.63997850617949</v>
      </c>
      <c r="G54" s="1">
        <f t="shared" si="4"/>
        <v>49.146757679180894</v>
      </c>
      <c r="H54" s="1">
        <f t="shared" si="7"/>
        <v>56.49999999999997</v>
      </c>
      <c r="I54" s="1">
        <f t="shared" si="5"/>
        <v>134.09999999999997</v>
      </c>
    </row>
    <row r="55" spans="1:9" ht="18">
      <c r="A55" s="29" t="s">
        <v>0</v>
      </c>
      <c r="B55" s="49">
        <f>444.5+0.2</f>
        <v>444.7</v>
      </c>
      <c r="C55" s="50">
        <f>709.9+0.6</f>
        <v>710.5</v>
      </c>
      <c r="D55" s="51">
        <f>1.1+7.6+5.9+0.3+0.2+6.8+0.3+67.1+16.4-0.1+19.5+19.3+76.2+4.5+12.1+86.4+1+0.1+7.3+44.6+0.6+0.7+4.7+3.3+0.6+3.6+2.4+6.1+0.1+1.4+1.4+0.4+0.1+0.5+4.8+1.4+0.3+5.7+0.1+0.9+0.8+1.1+0.2</f>
        <v>417.8000000000001</v>
      </c>
      <c r="E55" s="1">
        <f>D55/D51*100</f>
        <v>4.50895747895532</v>
      </c>
      <c r="F55" s="1">
        <f t="shared" si="6"/>
        <v>93.95097818754219</v>
      </c>
      <c r="G55" s="1">
        <f t="shared" si="4"/>
        <v>58.80365939479242</v>
      </c>
      <c r="H55" s="1">
        <f t="shared" si="7"/>
        <v>26.899999999999864</v>
      </c>
      <c r="I55" s="1">
        <f t="shared" si="5"/>
        <v>292.6999999999999</v>
      </c>
    </row>
    <row r="56" spans="1:9" ht="18.75" thickBot="1">
      <c r="A56" s="29" t="s">
        <v>34</v>
      </c>
      <c r="B56" s="50">
        <f>B51-B52-B55-B54-B53</f>
        <v>3499.899999999999</v>
      </c>
      <c r="C56" s="50">
        <f>C51-C52-C55-C54-C53</f>
        <v>4636.700000000002</v>
      </c>
      <c r="D56" s="50">
        <f>D51-D52-D55-D54-D53</f>
        <v>2645.4000000000033</v>
      </c>
      <c r="E56" s="1">
        <f>D56/D51*100</f>
        <v>28.549535937837277</v>
      </c>
      <c r="F56" s="1">
        <f t="shared" si="6"/>
        <v>75.58501671476338</v>
      </c>
      <c r="G56" s="1">
        <f t="shared" si="4"/>
        <v>57.0535078827615</v>
      </c>
      <c r="H56" s="1">
        <f t="shared" si="7"/>
        <v>854.4999999999959</v>
      </c>
      <c r="I56" s="1">
        <f>C56-D56</f>
        <v>1991.2999999999984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4034.9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</f>
        <v>3146.899999999999</v>
      </c>
      <c r="E58" s="3">
        <f>D58/D147*100</f>
        <v>0.48277272942419325</v>
      </c>
      <c r="F58" s="3">
        <f>D58/B58*100</f>
        <v>77.99201962873923</v>
      </c>
      <c r="G58" s="3">
        <f t="shared" si="4"/>
        <v>55.92500444286475</v>
      </c>
      <c r="H58" s="3">
        <f>B58-D58</f>
        <v>888.0000000000009</v>
      </c>
      <c r="I58" s="3">
        <f t="shared" si="5"/>
        <v>2480.100000000001</v>
      </c>
    </row>
    <row r="59" spans="1:9" ht="18">
      <c r="A59" s="29" t="s">
        <v>3</v>
      </c>
      <c r="B59" s="49">
        <v>1155.8</v>
      </c>
      <c r="C59" s="50">
        <f>1426.1+141.2</f>
        <v>1567.3</v>
      </c>
      <c r="D59" s="51">
        <f>36.1+65.6+39.2+69.1+1.8+43+66+41.2+71.4+46.8+1.2+82.5+0.1+44.9+89.3+53.8+64.9+50.3+105.6+56.7</f>
        <v>1029.4999999999998</v>
      </c>
      <c r="E59" s="1">
        <f>D59/D58*100</f>
        <v>32.71473513616575</v>
      </c>
      <c r="F59" s="1">
        <f t="shared" si="6"/>
        <v>89.07250389340714</v>
      </c>
      <c r="G59" s="1">
        <f t="shared" si="4"/>
        <v>65.68621195686849</v>
      </c>
      <c r="H59" s="1">
        <f t="shared" si="7"/>
        <v>126.30000000000018</v>
      </c>
      <c r="I59" s="1">
        <f t="shared" si="5"/>
        <v>537.8000000000002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82+25+0.2+76.4+51.7+60.3+0.7</f>
        <v>296.3</v>
      </c>
      <c r="E60" s="1">
        <f>D60/D58*100</f>
        <v>9.415615367504532</v>
      </c>
      <c r="F60" s="1">
        <f>D60/B60*100</f>
        <v>98.79959986662222</v>
      </c>
      <c r="G60" s="1">
        <f t="shared" si="4"/>
        <v>98.79959986662222</v>
      </c>
      <c r="H60" s="1">
        <f t="shared" si="7"/>
        <v>3.599999999999966</v>
      </c>
      <c r="I60" s="1">
        <f t="shared" si="5"/>
        <v>3.599999999999966</v>
      </c>
    </row>
    <row r="61" spans="1:9" ht="18">
      <c r="A61" s="29" t="s">
        <v>0</v>
      </c>
      <c r="B61" s="49">
        <v>296.7</v>
      </c>
      <c r="C61" s="50">
        <f>420.8+44</f>
        <v>464.8</v>
      </c>
      <c r="D61" s="51">
        <f>1.3+56.1+4.9+63.5+3.5+0.7+63-0.1+10.3+25.7+2.8+0.3+7.3+0.2+1+0.1+0.3+1+0.2+2.3</f>
        <v>244.40000000000003</v>
      </c>
      <c r="E61" s="1">
        <f>D61/D58*100</f>
        <v>7.76637325622041</v>
      </c>
      <c r="F61" s="1">
        <f t="shared" si="6"/>
        <v>82.3727671048197</v>
      </c>
      <c r="G61" s="1">
        <f t="shared" si="4"/>
        <v>52.58175559380379</v>
      </c>
      <c r="H61" s="1">
        <f t="shared" si="7"/>
        <v>52.299999999999955</v>
      </c>
      <c r="I61" s="1">
        <f t="shared" si="5"/>
        <v>220.39999999999998</v>
      </c>
    </row>
    <row r="62" spans="1:9" ht="18">
      <c r="A62" s="29" t="s">
        <v>15</v>
      </c>
      <c r="B62" s="49">
        <f>2128.9-39.2</f>
        <v>2089.7000000000003</v>
      </c>
      <c r="C62" s="50">
        <f>728.9+2400-39.2</f>
        <v>3089.7000000000003</v>
      </c>
      <c r="D62" s="51">
        <f>367.2+308.5+129.4+168.2+474.6</f>
        <v>1447.9</v>
      </c>
      <c r="E62" s="1">
        <f>D62/D58*100</f>
        <v>46.01035940131559</v>
      </c>
      <c r="F62" s="1">
        <f>D62/B62*100</f>
        <v>69.28745752978897</v>
      </c>
      <c r="G62" s="1">
        <f t="shared" si="4"/>
        <v>46.862154901770396</v>
      </c>
      <c r="H62" s="1">
        <f t="shared" si="7"/>
        <v>641.8000000000002</v>
      </c>
      <c r="I62" s="1">
        <f t="shared" si="5"/>
        <v>1641.8000000000002</v>
      </c>
    </row>
    <row r="63" spans="1:9" ht="18.75" thickBot="1">
      <c r="A63" s="29" t="s">
        <v>34</v>
      </c>
      <c r="B63" s="50">
        <f>B58-B59-B61-B62-B60</f>
        <v>192.8000000000003</v>
      </c>
      <c r="C63" s="50">
        <f>C58-C59-C61-C62-C60</f>
        <v>205.2999999999994</v>
      </c>
      <c r="D63" s="50">
        <f>D58-D59-D61-D62-D60</f>
        <v>128.79999999999944</v>
      </c>
      <c r="E63" s="1">
        <f>D63/D58*100</f>
        <v>4.092916838793717</v>
      </c>
      <c r="F63" s="1">
        <f t="shared" si="6"/>
        <v>66.80497925311164</v>
      </c>
      <c r="G63" s="1">
        <f t="shared" si="4"/>
        <v>62.73745737944463</v>
      </c>
      <c r="H63" s="1">
        <f t="shared" si="7"/>
        <v>64.00000000000085</v>
      </c>
      <c r="I63" s="1">
        <f t="shared" si="5"/>
        <v>76.49999999999994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349.70000000000005</v>
      </c>
      <c r="C68" s="53">
        <f>C69+C70</f>
        <v>405.6</v>
      </c>
      <c r="D68" s="54">
        <f>SUM(D69:D70)</f>
        <v>249.2</v>
      </c>
      <c r="E68" s="42">
        <f>D68/D147*100</f>
        <v>0.03823031051908512</v>
      </c>
      <c r="F68" s="111">
        <f>D68/B68*100</f>
        <v>71.26108092650843</v>
      </c>
      <c r="G68" s="3">
        <f t="shared" si="4"/>
        <v>61.43984220907297</v>
      </c>
      <c r="H68" s="3">
        <f>B68-D68</f>
        <v>100.50000000000006</v>
      </c>
      <c r="I68" s="3">
        <f t="shared" si="5"/>
        <v>156.40000000000003</v>
      </c>
    </row>
    <row r="69" spans="1:9" ht="18">
      <c r="A69" s="29" t="s">
        <v>8</v>
      </c>
      <c r="B69" s="49">
        <v>242.8</v>
      </c>
      <c r="C69" s="50">
        <f>250.3-5</f>
        <v>245.3</v>
      </c>
      <c r="D69" s="51">
        <f>0.2+12.6+73.3+85.8+22+1.3+2.3+2.7+1.6+2.5+7.9-0.2+3.6+5.1+14.9+0.1+2.1</f>
        <v>237.79999999999998</v>
      </c>
      <c r="E69" s="1">
        <f>D69/D68*100</f>
        <v>95.42536115569823</v>
      </c>
      <c r="F69" s="1">
        <f t="shared" si="6"/>
        <v>97.94069192751235</v>
      </c>
      <c r="G69" s="1">
        <f t="shared" si="4"/>
        <v>96.94251936404402</v>
      </c>
      <c r="H69" s="1">
        <f t="shared" si="7"/>
        <v>5.000000000000028</v>
      </c>
      <c r="I69" s="1">
        <f t="shared" si="5"/>
        <v>7.500000000000028</v>
      </c>
    </row>
    <row r="70" spans="1:9" ht="18.75" thickBot="1">
      <c r="A70" s="29" t="s">
        <v>9</v>
      </c>
      <c r="B70" s="49">
        <v>106.9</v>
      </c>
      <c r="C70" s="50">
        <f>242.8-42.9-28.6-11</f>
        <v>160.3</v>
      </c>
      <c r="D70" s="51">
        <f>7.4+0.2+3.8</f>
        <v>11.4</v>
      </c>
      <c r="E70" s="1">
        <f>D70/D69*100</f>
        <v>4.79394449116905</v>
      </c>
      <c r="F70" s="1">
        <f t="shared" si="6"/>
        <v>10.664172123479887</v>
      </c>
      <c r="G70" s="1">
        <f t="shared" si="4"/>
        <v>7.111665626949469</v>
      </c>
      <c r="H70" s="1">
        <f t="shared" si="7"/>
        <v>95.5</v>
      </c>
      <c r="I70" s="1">
        <f t="shared" si="5"/>
        <v>148.9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D71/D147*100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204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204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D78/D147*100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D83/D147*100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D86/D147*100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37262.4-137</f>
        <v>37125.4</v>
      </c>
      <c r="C89" s="53">
        <f>47925.9+539.6+110+168.6+27+1682.4+76</f>
        <v>50529.5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+2.9+0.1-0.2+181.2+104.5+116.1+28.1+45.5+8.6+854.5+206.9+164.5+41.5+8.6+9.7+28.6+17.2+38.8-3+188.6+1377.8+500.9+45.9+16.6+59.9+26.5+47.5+9.6+17.3+12.8+35.7+292.1+517+374.6+18.8+26.8+24.9+1.7+23.7+11.7+34.5</f>
        <v>32568.499999999993</v>
      </c>
      <c r="E89" s="3">
        <f>D89/D147*100</f>
        <v>4.996403965252101</v>
      </c>
      <c r="F89" s="3">
        <f aca="true" t="shared" si="10" ref="F89:F95">D89/B89*100</f>
        <v>87.72565413436621</v>
      </c>
      <c r="G89" s="3">
        <f t="shared" si="8"/>
        <v>64.45442761159322</v>
      </c>
      <c r="H89" s="3">
        <f aca="true" t="shared" si="11" ref="H89:H95">B89-D89</f>
        <v>4556.900000000009</v>
      </c>
      <c r="I89" s="3">
        <f t="shared" si="9"/>
        <v>17961.000000000007</v>
      </c>
    </row>
    <row r="90" spans="1:9" ht="18">
      <c r="A90" s="29" t="s">
        <v>3</v>
      </c>
      <c r="B90" s="49">
        <v>30669.9</v>
      </c>
      <c r="C90" s="50">
        <f>39638+1682.4</f>
        <v>41320.4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</f>
        <v>27909.500000000007</v>
      </c>
      <c r="E90" s="1">
        <f>D90/D89*100</f>
        <v>85.69476641540142</v>
      </c>
      <c r="F90" s="1">
        <f t="shared" si="10"/>
        <v>90.99964460268865</v>
      </c>
      <c r="G90" s="1">
        <f t="shared" si="8"/>
        <v>67.54411864357559</v>
      </c>
      <c r="H90" s="1">
        <f t="shared" si="11"/>
        <v>2760.399999999994</v>
      </c>
      <c r="I90" s="1">
        <f t="shared" si="9"/>
        <v>13410.899999999994</v>
      </c>
    </row>
    <row r="91" spans="1:9" ht="18">
      <c r="A91" s="29" t="s">
        <v>32</v>
      </c>
      <c r="B91" s="49">
        <v>1511.3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</f>
        <v>1105.3999999999999</v>
      </c>
      <c r="E91" s="1">
        <f>D91/D89*100</f>
        <v>3.394077099037414</v>
      </c>
      <c r="F91" s="1">
        <f t="shared" si="10"/>
        <v>73.14232779726063</v>
      </c>
      <c r="G91" s="1">
        <f t="shared" si="8"/>
        <v>42.92648829171682</v>
      </c>
      <c r="H91" s="1">
        <f t="shared" si="11"/>
        <v>405.9000000000001</v>
      </c>
      <c r="I91" s="1">
        <f t="shared" si="9"/>
        <v>1469.7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4944.2</v>
      </c>
      <c r="C93" s="50">
        <f>C89-C90-C91-C92</f>
        <v>6633.999999999998</v>
      </c>
      <c r="D93" s="50">
        <f>D89-D90-D91-D92</f>
        <v>3553.599999999986</v>
      </c>
      <c r="E93" s="1">
        <f>D93/D89*100</f>
        <v>10.911156485561161</v>
      </c>
      <c r="F93" s="1">
        <f t="shared" si="10"/>
        <v>71.87411512479241</v>
      </c>
      <c r="G93" s="1">
        <f>D93/C93*100</f>
        <v>53.56647573108211</v>
      </c>
      <c r="H93" s="1">
        <f t="shared" si="11"/>
        <v>1390.600000000014</v>
      </c>
      <c r="I93" s="1">
        <f>C93-D93</f>
        <v>3080.4000000000124</v>
      </c>
    </row>
    <row r="94" spans="1:9" ht="18.75">
      <c r="A94" s="121" t="s">
        <v>12</v>
      </c>
      <c r="B94" s="126">
        <f>41259.6+1544.7</f>
        <v>42804.299999999996</v>
      </c>
      <c r="C94" s="128">
        <f>48638.3+1900-424+424+830+1679.1</f>
        <v>53047.4</v>
      </c>
      <c r="D94" s="127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</f>
        <v>39359.40000000001</v>
      </c>
      <c r="E94" s="120">
        <f>D94/D147*100</f>
        <v>6.038210609329372</v>
      </c>
      <c r="F94" s="124">
        <f t="shared" si="10"/>
        <v>91.95197678737887</v>
      </c>
      <c r="G94" s="119">
        <f>D94/C94*100</f>
        <v>74.19666185336135</v>
      </c>
      <c r="H94" s="125">
        <f t="shared" si="11"/>
        <v>3444.899999999987</v>
      </c>
      <c r="I94" s="120">
        <f>C94-D94</f>
        <v>13687.999999999993</v>
      </c>
    </row>
    <row r="95" spans="1:9" ht="18.75" thickBot="1">
      <c r="A95" s="122" t="s">
        <v>107</v>
      </c>
      <c r="B95" s="129">
        <v>3647</v>
      </c>
      <c r="C95" s="130">
        <f>4853.7+35</f>
        <v>4888.7</v>
      </c>
      <c r="D95" s="131">
        <f>600+69+9+48.5+2.5+299.7+50.5+190.4+1.3+10.6+6.7+53.3-0.1+0.9+266.8+7.4+4.8+52.9+0.1+200.2+15.7+7.1+5.9+55+13+150.2+100.5+23.9+52.6+56+166.1+18.9+16.3+57+182.9+5.3+14+56.5+0.5</f>
        <v>2871.9000000000005</v>
      </c>
      <c r="E95" s="132">
        <f>D95/D94*100</f>
        <v>7.29660513117578</v>
      </c>
      <c r="F95" s="133">
        <f t="shared" si="10"/>
        <v>78.746915272827</v>
      </c>
      <c r="G95" s="134">
        <f>D95/C95*100</f>
        <v>58.74567881031768</v>
      </c>
      <c r="H95" s="123">
        <f t="shared" si="11"/>
        <v>775.0999999999995</v>
      </c>
      <c r="I95" s="96">
        <f>C95-D95</f>
        <v>2016.7999999999993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D97/D147*100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D99/D147*100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7361.1</v>
      </c>
      <c r="C101" s="104">
        <f>6061.2+4589.8-16.4-3.1+0.1-234+3.8+1279.4</f>
        <v>11680.8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</f>
        <v>5251.807</v>
      </c>
      <c r="E101" s="25">
        <f>D101/D147*100</f>
        <v>0.8056910609803567</v>
      </c>
      <c r="F101" s="25">
        <f>D101/B101*100</f>
        <v>71.34541033269484</v>
      </c>
      <c r="G101" s="25">
        <f aca="true" t="shared" si="12" ref="G101:G145">D101/C101*100</f>
        <v>44.961021505376344</v>
      </c>
      <c r="H101" s="25">
        <f aca="true" t="shared" si="13" ref="H101:H106">B101-D101</f>
        <v>2109.2930000000006</v>
      </c>
      <c r="I101" s="25">
        <f aca="true" t="shared" si="14" ref="I101:I145">C101-D101</f>
        <v>6428.9929999999995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v>6357.2</v>
      </c>
      <c r="C103" s="51">
        <f>5036.9+4586-16.4-3.1+0.1-234-4.8+1279.4</f>
        <v>10644.1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</f>
        <v>4818.3</v>
      </c>
      <c r="E103" s="1">
        <f>D103/D101*100</f>
        <v>91.745564907469</v>
      </c>
      <c r="F103" s="1">
        <f aca="true" t="shared" si="15" ref="F103:F145">D103/B103*100</f>
        <v>75.79280186245518</v>
      </c>
      <c r="G103" s="1">
        <f t="shared" si="12"/>
        <v>45.26733119756485</v>
      </c>
      <c r="H103" s="1">
        <f t="shared" si="13"/>
        <v>1538.8999999999996</v>
      </c>
      <c r="I103" s="1">
        <f t="shared" si="14"/>
        <v>5825.8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1003.9000000000005</v>
      </c>
      <c r="C105" s="100">
        <f>C101-C102-C103</f>
        <v>1036.699999999999</v>
      </c>
      <c r="D105" s="100">
        <f>D101-D102-D103</f>
        <v>433.5069999999996</v>
      </c>
      <c r="E105" s="96">
        <f>D105/D101*100</f>
        <v>8.254435092531</v>
      </c>
      <c r="F105" s="96">
        <f t="shared" si="15"/>
        <v>43.18228907261673</v>
      </c>
      <c r="G105" s="96">
        <f t="shared" si="12"/>
        <v>41.816050930838244</v>
      </c>
      <c r="H105" s="96">
        <f>B105-D105</f>
        <v>570.3930000000009</v>
      </c>
      <c r="I105" s="96">
        <f t="shared" si="14"/>
        <v>603.1929999999993</v>
      </c>
    </row>
    <row r="106" spans="1:9" s="2" customFormat="1" ht="26.25" customHeight="1" thickBot="1">
      <c r="A106" s="92" t="s">
        <v>35</v>
      </c>
      <c r="B106" s="93">
        <f>SUM(B107:B144)-B114-B118+B145-B136-B137-B108-B111-B121-B122-B134-B129</f>
        <v>144910.4</v>
      </c>
      <c r="C106" s="93">
        <f>SUM(C107:C144)-C114-C118+C145-C136-C137-C108-C111-C121-C122-C134-C129</f>
        <v>173423.19999999998</v>
      </c>
      <c r="D106" s="93">
        <f>SUM(D107:D144)-D114-D118+D145-D136-D137-D108-D111-D121-D122-D134-D129</f>
        <v>134035.59999999998</v>
      </c>
      <c r="E106" s="94">
        <f>D106/D147*100</f>
        <v>20.562691045794082</v>
      </c>
      <c r="F106" s="94">
        <f>D106/B106*100</f>
        <v>92.49550066799898</v>
      </c>
      <c r="G106" s="94">
        <f t="shared" si="12"/>
        <v>77.28815983097994</v>
      </c>
      <c r="H106" s="94">
        <f t="shared" si="13"/>
        <v>10874.800000000017</v>
      </c>
      <c r="I106" s="94">
        <f t="shared" si="14"/>
        <v>39387.600000000006</v>
      </c>
    </row>
    <row r="107" spans="1:9" ht="37.5">
      <c r="A107" s="34" t="s">
        <v>66</v>
      </c>
      <c r="B107" s="78">
        <f>1307.7+161.4</f>
        <v>1469.1000000000001</v>
      </c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</f>
        <v>864.3000000000002</v>
      </c>
      <c r="E107" s="6">
        <f>D107/D106*100</f>
        <v>0.6448286873039702</v>
      </c>
      <c r="F107" s="6">
        <f t="shared" si="15"/>
        <v>58.831937921176234</v>
      </c>
      <c r="G107" s="6">
        <f t="shared" si="12"/>
        <v>44.06995716908016</v>
      </c>
      <c r="H107" s="6">
        <f aca="true" t="shared" si="16" ref="H107:H145">B107-D107</f>
        <v>604.8</v>
      </c>
      <c r="I107" s="6">
        <f t="shared" si="14"/>
        <v>1096.8999999999999</v>
      </c>
    </row>
    <row r="108" spans="1:9" ht="18">
      <c r="A108" s="29" t="s">
        <v>32</v>
      </c>
      <c r="B108" s="81">
        <v>521.3</v>
      </c>
      <c r="C108" s="51">
        <v>823.7</v>
      </c>
      <c r="D108" s="82">
        <f>96.8+90.7+64.1+48.5+58.1+15.9+13.5+19.9</f>
        <v>407.5</v>
      </c>
      <c r="E108" s="1"/>
      <c r="F108" s="1">
        <f t="shared" si="15"/>
        <v>78.16995971609438</v>
      </c>
      <c r="G108" s="1">
        <f t="shared" si="12"/>
        <v>49.47189510744202</v>
      </c>
      <c r="H108" s="1">
        <f t="shared" si="16"/>
        <v>113.79999999999995</v>
      </c>
      <c r="I108" s="1">
        <f t="shared" si="14"/>
        <v>416.20000000000005</v>
      </c>
    </row>
    <row r="109" spans="1:9" ht="34.5" customHeight="1">
      <c r="A109" s="17" t="s">
        <v>99</v>
      </c>
      <c r="B109" s="80">
        <v>700.1</v>
      </c>
      <c r="C109" s="68">
        <v>903.8</v>
      </c>
      <c r="D109" s="79">
        <f>20.7+31.6+0.1+27.7-0.1+31.4+0.1+10.6+34.1+43.9+13.6+28.6+61.2+100.4</f>
        <v>403.9</v>
      </c>
      <c r="E109" s="6">
        <f>D109/D106*100</f>
        <v>0.3013378535254813</v>
      </c>
      <c r="F109" s="6">
        <f>D109/B109*100</f>
        <v>57.69175832023996</v>
      </c>
      <c r="G109" s="6">
        <f t="shared" si="12"/>
        <v>44.68909050674928</v>
      </c>
      <c r="H109" s="6">
        <f t="shared" si="16"/>
        <v>296.20000000000005</v>
      </c>
      <c r="I109" s="6">
        <f t="shared" si="14"/>
        <v>499.9</v>
      </c>
    </row>
    <row r="110" spans="1:9" s="44" customFormat="1" ht="34.5" customHeight="1">
      <c r="A110" s="17" t="s">
        <v>74</v>
      </c>
      <c r="B110" s="80">
        <v>68.5</v>
      </c>
      <c r="C110" s="60">
        <f>71.8+12.8</f>
        <v>84.6</v>
      </c>
      <c r="D110" s="83">
        <f>5.3+5.3+0.5+1.7+6+6</f>
        <v>24.799999999999997</v>
      </c>
      <c r="E110" s="6">
        <f>D110/D106*100</f>
        <v>0.018502547084505907</v>
      </c>
      <c r="F110" s="6">
        <f t="shared" si="15"/>
        <v>36.20437956204379</v>
      </c>
      <c r="G110" s="6">
        <f t="shared" si="12"/>
        <v>29.314420803782504</v>
      </c>
      <c r="H110" s="6">
        <f t="shared" si="16"/>
        <v>43.7</v>
      </c>
      <c r="I110" s="6">
        <f t="shared" si="14"/>
        <v>59.8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50.5</v>
      </c>
      <c r="C112" s="68">
        <v>67.4</v>
      </c>
      <c r="D112" s="79">
        <f>5.5+5.4+5.5+5.5+5.5+5.5-0.1+2.7+0.1+2.7+5.5</f>
        <v>43.800000000000004</v>
      </c>
      <c r="E112" s="6">
        <f>D112/D106*100</f>
        <v>0.032677885576667696</v>
      </c>
      <c r="F112" s="6">
        <f t="shared" si="15"/>
        <v>86.73267326732675</v>
      </c>
      <c r="G112" s="6">
        <f t="shared" si="12"/>
        <v>64.98516320474778</v>
      </c>
      <c r="H112" s="6">
        <f t="shared" si="16"/>
        <v>6.699999999999996</v>
      </c>
      <c r="I112" s="6">
        <f t="shared" si="14"/>
        <v>23.6</v>
      </c>
    </row>
    <row r="113" spans="1:9" ht="37.5">
      <c r="A113" s="17" t="s">
        <v>46</v>
      </c>
      <c r="B113" s="80">
        <v>1140.3</v>
      </c>
      <c r="C113" s="68">
        <v>1532.5</v>
      </c>
      <c r="D113" s="79">
        <f>96.4+0.6+6.3+86+10.4+21.5+5.3+0.1+11.6+102.1+10.6+3.5+5.6+100.7+13.3+0.9+3.6+96.9-0.1+15.7+1.7+1+96.8+0.1+4+1+0.2+1.2+96.6+0.3-0.1+8.6+0.3+99+5.6+0.2</f>
        <v>907.5000000000002</v>
      </c>
      <c r="E113" s="6">
        <f>D113/D106*100</f>
        <v>0.6770589306124645</v>
      </c>
      <c r="F113" s="6">
        <f t="shared" si="15"/>
        <v>79.58431991581165</v>
      </c>
      <c r="G113" s="6">
        <f t="shared" si="12"/>
        <v>59.21696574225124</v>
      </c>
      <c r="H113" s="6">
        <f t="shared" si="16"/>
        <v>232.79999999999973</v>
      </c>
      <c r="I113" s="6">
        <f t="shared" si="14"/>
        <v>624.9999999999998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0.026858536090411805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205.2</v>
      </c>
      <c r="C116" s="68">
        <v>245.2</v>
      </c>
      <c r="D116" s="79">
        <f>19.1+40+15+2.5</f>
        <v>76.6</v>
      </c>
      <c r="E116" s="6">
        <f>D116/D106*100</f>
        <v>0.057148996236820675</v>
      </c>
      <c r="F116" s="6">
        <f>D116/B116*100</f>
        <v>37.32943469785575</v>
      </c>
      <c r="G116" s="6">
        <f t="shared" si="12"/>
        <v>31.23980424143556</v>
      </c>
      <c r="H116" s="6">
        <f t="shared" si="16"/>
        <v>128.6</v>
      </c>
      <c r="I116" s="6">
        <f t="shared" si="14"/>
        <v>168.6</v>
      </c>
    </row>
    <row r="117" spans="1:9" s="2" customFormat="1" ht="18.75">
      <c r="A117" s="17" t="s">
        <v>16</v>
      </c>
      <c r="B117" s="80">
        <v>175.6</v>
      </c>
      <c r="C117" s="60">
        <f>199.6+4.8+37.1</f>
        <v>241.5</v>
      </c>
      <c r="D117" s="79">
        <f>1.6+18.3+17.8+0.8+2.2+4+0.6+16.7+3.7+3.6+16.7+3.4+1.3+16.7+2.9+0.8+16.7+0.1+0.8+1.3+16.7+3.7+1.1+1.1+3.7</f>
        <v>156.29999999999998</v>
      </c>
      <c r="E117" s="6">
        <f>D117/D106*100</f>
        <v>0.11661081085920458</v>
      </c>
      <c r="F117" s="6">
        <f t="shared" si="15"/>
        <v>89.00911161731206</v>
      </c>
      <c r="G117" s="6">
        <f t="shared" si="12"/>
        <v>64.72049689440993</v>
      </c>
      <c r="H117" s="6">
        <f t="shared" si="16"/>
        <v>19.30000000000001</v>
      </c>
      <c r="I117" s="6">
        <f t="shared" si="14"/>
        <v>85.20000000000002</v>
      </c>
    </row>
    <row r="118" spans="1:9" s="39" customFormat="1" ht="18">
      <c r="A118" s="40" t="s">
        <v>53</v>
      </c>
      <c r="B118" s="81">
        <v>133.7</v>
      </c>
      <c r="C118" s="51">
        <f>150.8+37.1</f>
        <v>187.9</v>
      </c>
      <c r="D118" s="82">
        <f>16.7+16.7+16.7+16.7+16.7+16.7+16.7</f>
        <v>116.9</v>
      </c>
      <c r="E118" s="1"/>
      <c r="F118" s="1">
        <f t="shared" si="15"/>
        <v>87.434554973822</v>
      </c>
      <c r="G118" s="1">
        <f t="shared" si="12"/>
        <v>62.21394358701438</v>
      </c>
      <c r="H118" s="1">
        <f t="shared" si="16"/>
        <v>16.799999999999983</v>
      </c>
      <c r="I118" s="1">
        <f t="shared" si="14"/>
        <v>71</v>
      </c>
    </row>
    <row r="119" spans="1:9" s="2" customFormat="1" ht="18.75">
      <c r="A119" s="17" t="s">
        <v>25</v>
      </c>
      <c r="B119" s="80">
        <v>1418.4</v>
      </c>
      <c r="C119" s="60">
        <f>1468.8+249.6</f>
        <v>1718.3999999999999</v>
      </c>
      <c r="D119" s="79">
        <f>249.6+108.7+40+50</f>
        <v>448.3</v>
      </c>
      <c r="E119" s="6">
        <f>D119/D106*100</f>
        <v>0.3344633813703226</v>
      </c>
      <c r="F119" s="6">
        <f t="shared" si="15"/>
        <v>31.60603496897913</v>
      </c>
      <c r="G119" s="6">
        <f t="shared" si="12"/>
        <v>26.088221601489757</v>
      </c>
      <c r="H119" s="6">
        <f t="shared" si="16"/>
        <v>970.1000000000001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f>1251-88</f>
        <v>1163</v>
      </c>
      <c r="C120" s="60">
        <f>628+70+553-88</f>
        <v>1163</v>
      </c>
      <c r="D120" s="83">
        <f>110.6+553+71.8+70.5</f>
        <v>805.9</v>
      </c>
      <c r="E120" s="19">
        <f>D120/D106*100</f>
        <v>0.6012581732017466</v>
      </c>
      <c r="F120" s="6">
        <f t="shared" si="15"/>
        <v>69.29492691315563</v>
      </c>
      <c r="G120" s="6">
        <f t="shared" si="12"/>
        <v>69.29492691315563</v>
      </c>
      <c r="H120" s="6">
        <f t="shared" si="16"/>
        <v>357.1</v>
      </c>
      <c r="I120" s="6">
        <f t="shared" si="14"/>
        <v>357.1</v>
      </c>
    </row>
    <row r="121" spans="1:9" s="115" customFormat="1" ht="18">
      <c r="A121" s="29" t="s">
        <v>101</v>
      </c>
      <c r="B121" s="81">
        <v>70</v>
      </c>
      <c r="C121" s="51">
        <v>70</v>
      </c>
      <c r="D121" s="82">
        <v>70</v>
      </c>
      <c r="E121" s="6"/>
      <c r="F121" s="1">
        <f>D121/B121*100</f>
        <v>100</v>
      </c>
      <c r="G121" s="1">
        <f t="shared" si="12"/>
        <v>100</v>
      </c>
      <c r="H121" s="1">
        <f t="shared" si="16"/>
        <v>0</v>
      </c>
      <c r="I121" s="1">
        <f t="shared" si="14"/>
        <v>0</v>
      </c>
    </row>
    <row r="122" spans="1:9" s="115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2166.8</v>
      </c>
      <c r="C123" s="60">
        <v>2933.8</v>
      </c>
      <c r="D123" s="83">
        <f>21+0.9+174.2+5+11.4+16.5-0.1+809.5+345.2+0.7+692.9+77.6+2.5-0.1</f>
        <v>2157.2000000000003</v>
      </c>
      <c r="E123" s="19">
        <f>D123/D106*100</f>
        <v>1.609423168173232</v>
      </c>
      <c r="F123" s="6">
        <f t="shared" si="15"/>
        <v>99.55695034151745</v>
      </c>
      <c r="G123" s="6">
        <f t="shared" si="12"/>
        <v>73.52921126184471</v>
      </c>
      <c r="H123" s="6">
        <f t="shared" si="16"/>
        <v>9.599999999999909</v>
      </c>
      <c r="I123" s="6">
        <f t="shared" si="14"/>
        <v>776.5999999999999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0.09691455105956927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0.001492140893911767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252.4</v>
      </c>
      <c r="C126" s="60">
        <v>332.3</v>
      </c>
      <c r="D126" s="83">
        <f>25</f>
        <v>25</v>
      </c>
      <c r="E126" s="19">
        <f>D126/D106*100</f>
        <v>0.018651761173897087</v>
      </c>
      <c r="F126" s="6">
        <f t="shared" si="15"/>
        <v>9.904912836767037</v>
      </c>
      <c r="G126" s="6">
        <f t="shared" si="12"/>
        <v>7.523322299127294</v>
      </c>
      <c r="H126" s="6">
        <f t="shared" si="16"/>
        <v>227.4</v>
      </c>
      <c r="I126" s="6">
        <f t="shared" si="14"/>
        <v>307.3</v>
      </c>
    </row>
    <row r="127" spans="1:9" s="2" customFormat="1" ht="37.5">
      <c r="A127" s="17" t="s">
        <v>77</v>
      </c>
      <c r="B127" s="80">
        <f>748.2+60.1</f>
        <v>808.3000000000001</v>
      </c>
      <c r="C127" s="60">
        <f>101.4+27.9+634-0.2+60.1</f>
        <v>823.1999999999999</v>
      </c>
      <c r="D127" s="83">
        <f>3+3+4.9+21.9-0.1+12.2+1.6+6.9+7.8+0.7+8.4+2.4+5+2.4+0.1+5.6+2.4+0.1+5+2.4+578.6+30.5+2.4+19.2</f>
        <v>726.4000000000001</v>
      </c>
      <c r="E127" s="19">
        <f>D127/D106*100</f>
        <v>0.5419455726687539</v>
      </c>
      <c r="F127" s="6">
        <f t="shared" si="15"/>
        <v>89.86762340715082</v>
      </c>
      <c r="G127" s="6">
        <f t="shared" si="12"/>
        <v>88.24101068999029</v>
      </c>
      <c r="H127" s="6">
        <f t="shared" si="16"/>
        <v>81.89999999999998</v>
      </c>
      <c r="I127" s="6">
        <f t="shared" si="14"/>
        <v>96.79999999999984</v>
      </c>
    </row>
    <row r="128" spans="1:9" s="2" customFormat="1" ht="18.75">
      <c r="A128" s="17" t="s">
        <v>71</v>
      </c>
      <c r="B128" s="80">
        <v>573.4</v>
      </c>
      <c r="C128" s="60">
        <v>650</v>
      </c>
      <c r="D128" s="83">
        <f>8.7+23.6+6.2+5.1+38.5+4.6+4.8+8.6+12.9+2.8+0.1+16.3+3+2.5+6.2-0.2+39.7+9.9+9.5+37.2+8.4+10.6+4.5+4.6+8.4+6.1+57.4+4.4</f>
        <v>344.4</v>
      </c>
      <c r="E128" s="19">
        <f>D128/D106*100</f>
        <v>0.25694666193160626</v>
      </c>
      <c r="F128" s="6">
        <f t="shared" si="15"/>
        <v>60.06278339727938</v>
      </c>
      <c r="G128" s="6">
        <f t="shared" si="12"/>
        <v>52.98461538461539</v>
      </c>
      <c r="H128" s="6">
        <f t="shared" si="16"/>
        <v>229</v>
      </c>
      <c r="I128" s="6">
        <f t="shared" si="14"/>
        <v>305.6</v>
      </c>
    </row>
    <row r="129" spans="1:9" s="39" customFormat="1" ht="18">
      <c r="A129" s="40" t="s">
        <v>53</v>
      </c>
      <c r="B129" s="81">
        <v>74.7</v>
      </c>
      <c r="C129" s="51">
        <v>74.7</v>
      </c>
      <c r="D129" s="82"/>
      <c r="E129" s="1"/>
      <c r="F129" s="1">
        <f>D129/B129*100</f>
        <v>0</v>
      </c>
      <c r="G129" s="1">
        <f t="shared" si="12"/>
        <v>0</v>
      </c>
      <c r="H129" s="1">
        <f t="shared" si="16"/>
        <v>74.7</v>
      </c>
      <c r="I129" s="1">
        <f t="shared" si="14"/>
        <v>74.7</v>
      </c>
    </row>
    <row r="130" spans="1:9" s="2" customFormat="1" ht="35.25" customHeight="1">
      <c r="A130" s="17" t="s">
        <v>70</v>
      </c>
      <c r="B130" s="80">
        <v>125</v>
      </c>
      <c r="C130" s="60">
        <f>171.5+14.8-110+48.7</f>
        <v>125.00000000000001</v>
      </c>
      <c r="D130" s="83">
        <f>5.6+5.6+3.5+1.3+1.8+0.1+2.5+14.8+2.8</f>
        <v>38</v>
      </c>
      <c r="E130" s="19">
        <f>D130/D106*100</f>
        <v>0.02835067698432357</v>
      </c>
      <c r="F130" s="6">
        <f t="shared" si="15"/>
        <v>30.4</v>
      </c>
      <c r="G130" s="6">
        <f t="shared" si="12"/>
        <v>30.4</v>
      </c>
      <c r="H130" s="6">
        <f t="shared" si="16"/>
        <v>87</v>
      </c>
      <c r="I130" s="6">
        <f t="shared" si="14"/>
        <v>87.00000000000001</v>
      </c>
    </row>
    <row r="131" spans="1:9" s="2" customFormat="1" ht="35.25" customHeight="1">
      <c r="A131" s="17" t="s">
        <v>72</v>
      </c>
      <c r="B131" s="80">
        <v>90</v>
      </c>
      <c r="C131" s="60">
        <v>220</v>
      </c>
      <c r="D131" s="83"/>
      <c r="E131" s="19">
        <f>D131/D106*100</f>
        <v>0</v>
      </c>
      <c r="F131" s="6">
        <f t="shared" si="15"/>
        <v>0</v>
      </c>
      <c r="G131" s="6">
        <f t="shared" si="12"/>
        <v>0</v>
      </c>
      <c r="H131" s="6">
        <f t="shared" si="16"/>
        <v>90</v>
      </c>
      <c r="I131" s="6">
        <f t="shared" si="14"/>
        <v>220</v>
      </c>
    </row>
    <row r="132" spans="1:9" s="2" customFormat="1" ht="35.25" customHeight="1">
      <c r="A132" s="17" t="s">
        <v>120</v>
      </c>
      <c r="B132" s="80">
        <v>50</v>
      </c>
      <c r="C132" s="60">
        <v>50</v>
      </c>
      <c r="D132" s="83"/>
      <c r="E132" s="19">
        <f>D132/D106*100</f>
        <v>0</v>
      </c>
      <c r="F132" s="6">
        <f t="shared" si="15"/>
        <v>0</v>
      </c>
      <c r="G132" s="6">
        <f t="shared" si="12"/>
        <v>0</v>
      </c>
      <c r="H132" s="6">
        <f t="shared" si="16"/>
        <v>50</v>
      </c>
      <c r="I132" s="6">
        <f t="shared" si="14"/>
        <v>50</v>
      </c>
    </row>
    <row r="133" spans="1:9" s="2" customFormat="1" ht="37.5">
      <c r="A133" s="17" t="s">
        <v>108</v>
      </c>
      <c r="B133" s="80">
        <f>265.1+39.2</f>
        <v>304.3</v>
      </c>
      <c r="C133" s="60">
        <f>265.1+39.2</f>
        <v>304.3</v>
      </c>
      <c r="D133" s="83">
        <f>59.9+7.6+10.7+6.3+5.3+38.1+4+0.1+1.7+3.6+39.2+1.5+0.1+12.4+0.1+5.1+12</f>
        <v>207.7</v>
      </c>
      <c r="E133" s="19">
        <f>D133/D106*100</f>
        <v>0.15495883183273698</v>
      </c>
      <c r="F133" s="6">
        <f t="shared" si="15"/>
        <v>68.25501150180742</v>
      </c>
      <c r="G133" s="6">
        <f>D133/C133*100</f>
        <v>68.25501150180742</v>
      </c>
      <c r="H133" s="6">
        <f t="shared" si="16"/>
        <v>96.60000000000002</v>
      </c>
      <c r="I133" s="6">
        <f t="shared" si="14"/>
        <v>96.60000000000002</v>
      </c>
    </row>
    <row r="134" spans="1:9" s="39" customFormat="1" ht="18">
      <c r="A134" s="29" t="s">
        <v>32</v>
      </c>
      <c r="B134" s="81">
        <f>64.2+30</f>
        <v>94.2</v>
      </c>
      <c r="C134" s="51">
        <f>64.2+30</f>
        <v>94.2</v>
      </c>
      <c r="D134" s="82">
        <f>7.6+0.3+4.8+38.1+4+0.1+0.1+0.1+8.5+0.1+12</f>
        <v>75.7</v>
      </c>
      <c r="E134" s="1">
        <f>D134/D133*100</f>
        <v>36.446798266730866</v>
      </c>
      <c r="F134" s="1">
        <f t="shared" si="15"/>
        <v>80.36093418259024</v>
      </c>
      <c r="G134" s="1">
        <f>D134/C134*100</f>
        <v>80.36093418259024</v>
      </c>
      <c r="H134" s="1">
        <f t="shared" si="16"/>
        <v>18.5</v>
      </c>
      <c r="I134" s="1">
        <f t="shared" si="14"/>
        <v>18.5</v>
      </c>
    </row>
    <row r="135" spans="1:9" s="2" customFormat="1" ht="18.75">
      <c r="A135" s="17" t="s">
        <v>31</v>
      </c>
      <c r="B135" s="80">
        <f>737.6+12</f>
        <v>749.6</v>
      </c>
      <c r="C135" s="60">
        <f>981.9+3.8+55.8</f>
        <v>1041.5</v>
      </c>
      <c r="D135" s="83">
        <f>21.9+41.8+0.1+6.1+26+3.6+0.1+41-0.1+21.3+6.2+7.1+43.4+4.5+8.8+48.5+7.5+32.1+0.1+41.9+8.4+5.1+33.1+1.3+25.6+4.3+48.8+5.3+25.6+1.9+53.3-0.1+30.8+0.1+48.5+0.4+47.7</f>
        <v>702</v>
      </c>
      <c r="E135" s="19">
        <f>D135/D106*100</f>
        <v>0.5237414537630303</v>
      </c>
      <c r="F135" s="6">
        <f t="shared" si="15"/>
        <v>93.64994663820704</v>
      </c>
      <c r="G135" s="6">
        <f t="shared" si="12"/>
        <v>67.40278444551127</v>
      </c>
      <c r="H135" s="6">
        <f t="shared" si="16"/>
        <v>47.60000000000002</v>
      </c>
      <c r="I135" s="6">
        <f t="shared" si="14"/>
        <v>339.5</v>
      </c>
    </row>
    <row r="136" spans="1:9" s="39" customFormat="1" ht="18">
      <c r="A136" s="40" t="s">
        <v>53</v>
      </c>
      <c r="B136" s="81">
        <f>643.9+12</f>
        <v>655.9</v>
      </c>
      <c r="C136" s="51">
        <f>848.7+46.3</f>
        <v>895</v>
      </c>
      <c r="D136" s="82">
        <f>21.9+39.7+0.1+6.1+19+41-0.1+21.3+43.3+8.5+32.3+32.1+41.5+4.2+33.1+25.6+47+0.1+25.6+53.3+26.2+48.5+0.4+43.2</f>
        <v>613.9000000000002</v>
      </c>
      <c r="E136" s="1">
        <f>D136/D135*100</f>
        <v>87.45014245014248</v>
      </c>
      <c r="F136" s="1">
        <f aca="true" t="shared" si="17" ref="F136:F144">D136/B136*100</f>
        <v>93.59658484525083</v>
      </c>
      <c r="G136" s="1">
        <f t="shared" si="12"/>
        <v>68.59217877094974</v>
      </c>
      <c r="H136" s="1">
        <f t="shared" si="16"/>
        <v>41.99999999999977</v>
      </c>
      <c r="I136" s="1">
        <f t="shared" si="14"/>
        <v>281.0999999999998</v>
      </c>
    </row>
    <row r="137" spans="1:9" s="39" customFormat="1" ht="18">
      <c r="A137" s="29" t="s">
        <v>32</v>
      </c>
      <c r="B137" s="81">
        <v>22.4</v>
      </c>
      <c r="C137" s="51">
        <f>26.3+9.5</f>
        <v>35.8</v>
      </c>
      <c r="D137" s="82">
        <f>7+6+0.2+7.1+0.1+0.4+0.3+0.1+0.3+0.4+0.3</f>
        <v>22.2</v>
      </c>
      <c r="E137" s="1">
        <f>D137/D135*100</f>
        <v>3.1623931623931623</v>
      </c>
      <c r="F137" s="1">
        <f t="shared" si="17"/>
        <v>99.10714285714286</v>
      </c>
      <c r="G137" s="1">
        <f>D137/C137*100</f>
        <v>62.011173184357546</v>
      </c>
      <c r="H137" s="1">
        <f t="shared" si="16"/>
        <v>0.1999999999999993</v>
      </c>
      <c r="I137" s="1">
        <f t="shared" si="14"/>
        <v>13.599999999999998</v>
      </c>
    </row>
    <row r="138" spans="1:9" s="2" customFormat="1" ht="56.25">
      <c r="A138" s="23" t="s">
        <v>113</v>
      </c>
      <c r="B138" s="80">
        <v>200</v>
      </c>
      <c r="C138" s="60">
        <v>200</v>
      </c>
      <c r="D138" s="83">
        <v>200</v>
      </c>
      <c r="E138" s="19">
        <f>D138/D106*100</f>
        <v>0.1492140893911767</v>
      </c>
      <c r="F138" s="112">
        <f t="shared" si="17"/>
        <v>100</v>
      </c>
      <c r="G138" s="6">
        <f t="shared" si="12"/>
        <v>100</v>
      </c>
      <c r="H138" s="6">
        <f t="shared" si="16"/>
        <v>0</v>
      </c>
      <c r="I138" s="6">
        <f t="shared" si="14"/>
        <v>0</v>
      </c>
    </row>
    <row r="139" spans="1:9" s="2" customFormat="1" ht="18.75">
      <c r="A139" s="23" t="s">
        <v>119</v>
      </c>
      <c r="B139" s="80">
        <f>427+500</f>
        <v>927</v>
      </c>
      <c r="C139" s="60">
        <f>427+1500</f>
        <v>1927</v>
      </c>
      <c r="D139" s="83"/>
      <c r="E139" s="19"/>
      <c r="F139" s="112">
        <f>D139/B139*100</f>
        <v>0</v>
      </c>
      <c r="G139" s="6">
        <f t="shared" si="12"/>
        <v>0</v>
      </c>
      <c r="H139" s="6">
        <f t="shared" si="16"/>
        <v>927</v>
      </c>
      <c r="I139" s="6">
        <f t="shared" si="14"/>
        <v>1927</v>
      </c>
    </row>
    <row r="140" spans="1:9" s="2" customFormat="1" ht="18.75">
      <c r="A140" s="23" t="s">
        <v>110</v>
      </c>
      <c r="B140" s="80">
        <v>8800</v>
      </c>
      <c r="C140" s="60">
        <f>6500-2076-424+9200+2300</f>
        <v>15500</v>
      </c>
      <c r="D140" s="83">
        <f>241.3+64.6+48.1+278.9+170.1+140.9+637.5+150.9+370.2+164.6+344.6+242.4+441.1+0.1</f>
        <v>3295.2999999999997</v>
      </c>
      <c r="E140" s="19">
        <f>D140/D106*100</f>
        <v>2.4585259438537226</v>
      </c>
      <c r="F140" s="112">
        <f t="shared" si="17"/>
        <v>37.4465909090909</v>
      </c>
      <c r="G140" s="6">
        <f t="shared" si="12"/>
        <v>21.259999999999998</v>
      </c>
      <c r="H140" s="6">
        <f t="shared" si="16"/>
        <v>5504.700000000001</v>
      </c>
      <c r="I140" s="6">
        <f t="shared" si="14"/>
        <v>12204.7</v>
      </c>
    </row>
    <row r="141" spans="1:9" s="2" customFormat="1" ht="18.75">
      <c r="A141" s="23" t="s">
        <v>111</v>
      </c>
      <c r="B141" s="80">
        <f>3775.1+20</f>
        <v>3795.1</v>
      </c>
      <c r="C141" s="60">
        <f>6082.6-959.5+20</f>
        <v>5143.1</v>
      </c>
      <c r="D141" s="83">
        <f>626.1+43.8+40.3+236+112.9+11.4-0.1+68.6+570.3+22.4+44.4+39.9+585.7+199.1+14+103.1+2.3+286.9+158.5+66.9+234.3+82.1</f>
        <v>3548.9000000000005</v>
      </c>
      <c r="E141" s="19">
        <f>D141/D106*100</f>
        <v>2.6477294092017356</v>
      </c>
      <c r="F141" s="112">
        <f t="shared" si="17"/>
        <v>93.51268741271642</v>
      </c>
      <c r="G141" s="6">
        <f t="shared" si="12"/>
        <v>69.00313040773075</v>
      </c>
      <c r="H141" s="6">
        <f t="shared" si="16"/>
        <v>246.19999999999936</v>
      </c>
      <c r="I141" s="6">
        <f t="shared" si="14"/>
        <v>1594.1999999999998</v>
      </c>
    </row>
    <row r="142" spans="1:9" s="2" customFormat="1" ht="18.75">
      <c r="A142" s="17" t="s">
        <v>114</v>
      </c>
      <c r="B142" s="80">
        <f>4188+2094</f>
        <v>6282</v>
      </c>
      <c r="C142" s="60">
        <v>8376</v>
      </c>
      <c r="D142" s="83">
        <f>2094+2094+2094</f>
        <v>6282</v>
      </c>
      <c r="E142" s="19">
        <f>D142/D106*100</f>
        <v>4.68681454777686</v>
      </c>
      <c r="F142" s="112">
        <f t="shared" si="17"/>
        <v>100</v>
      </c>
      <c r="G142" s="6">
        <f t="shared" si="12"/>
        <v>75</v>
      </c>
      <c r="H142" s="6">
        <f t="shared" si="16"/>
        <v>0</v>
      </c>
      <c r="I142" s="6">
        <f t="shared" si="14"/>
        <v>2094</v>
      </c>
    </row>
    <row r="143" spans="1:12" s="2" customFormat="1" ht="18.75" customHeight="1">
      <c r="A143" s="17" t="s">
        <v>98</v>
      </c>
      <c r="B143" s="80">
        <v>538.2</v>
      </c>
      <c r="C143" s="60">
        <v>538.2</v>
      </c>
      <c r="D143" s="83">
        <f>507.8+15.4+15</f>
        <v>538.2</v>
      </c>
      <c r="E143" s="19">
        <f>D143/D106*100</f>
        <v>0.4015351145516565</v>
      </c>
      <c r="F143" s="112">
        <f t="shared" si="17"/>
        <v>100</v>
      </c>
      <c r="G143" s="6">
        <f t="shared" si="12"/>
        <v>100</v>
      </c>
      <c r="H143" s="6">
        <f t="shared" si="16"/>
        <v>0</v>
      </c>
      <c r="I143" s="6">
        <f t="shared" si="14"/>
        <v>0</v>
      </c>
      <c r="K143" s="45"/>
      <c r="L143" s="45"/>
    </row>
    <row r="144" spans="1:12" s="2" customFormat="1" ht="19.5" customHeight="1">
      <c r="A144" s="17" t="s">
        <v>64</v>
      </c>
      <c r="B144" s="80">
        <f>99789.9-3797.9</f>
        <v>95992</v>
      </c>
      <c r="C144" s="60">
        <f>91632.1+2530-27+23.1+959.5+13590.1-3797.9</f>
        <v>104909.90000000002</v>
      </c>
      <c r="D144" s="83">
        <f>500.9+20883.8+13804+7506.8+2189.4+1247.6+18786.6+13748.5+10000+5000+2324.4</f>
        <v>95992</v>
      </c>
      <c r="E144" s="19">
        <f>D144/D106*100</f>
        <v>71.61679434418917</v>
      </c>
      <c r="F144" s="6">
        <f t="shared" si="17"/>
        <v>100</v>
      </c>
      <c r="G144" s="6">
        <f t="shared" si="12"/>
        <v>91.49946763842114</v>
      </c>
      <c r="H144" s="6">
        <f t="shared" si="16"/>
        <v>0</v>
      </c>
      <c r="I144" s="6">
        <f t="shared" si="14"/>
        <v>8917.900000000023</v>
      </c>
      <c r="K144" s="103"/>
      <c r="L144" s="45"/>
    </row>
    <row r="145" spans="1:12" s="2" customFormat="1" ht="18.75">
      <c r="A145" s="17" t="s">
        <v>112</v>
      </c>
      <c r="B145" s="80">
        <v>16697.7</v>
      </c>
      <c r="C145" s="60">
        <v>22263.4</v>
      </c>
      <c r="D145" s="83">
        <f>1236.9+618.4+618.4+618.4+618.5+618.4+618.4+618.5+618.4+618.4+618.5+618.4+618.4+618.5+618.4+618.4+618.5+618.4+618.4+618.5+618.4+618.4+618.4+618.5+618.4</f>
        <v>16079.199999999995</v>
      </c>
      <c r="E145" s="19">
        <f>D145/D106*100</f>
        <v>11.996215930693038</v>
      </c>
      <c r="F145" s="6">
        <f t="shared" si="15"/>
        <v>96.29589703971202</v>
      </c>
      <c r="G145" s="6">
        <f t="shared" si="12"/>
        <v>72.22257157487174</v>
      </c>
      <c r="H145" s="6">
        <f t="shared" si="16"/>
        <v>618.5000000000055</v>
      </c>
      <c r="I145" s="6">
        <f t="shared" si="14"/>
        <v>6184.200000000006</v>
      </c>
      <c r="K145" s="45"/>
      <c r="L145" s="45"/>
    </row>
    <row r="146" spans="1:12" s="2" customFormat="1" ht="19.5" thickBot="1">
      <c r="A146" s="41" t="s">
        <v>36</v>
      </c>
      <c r="B146" s="84">
        <f>B43+B68+B71+B76+B78+B86+B101+B106+B99+B83+B97</f>
        <v>153450.8</v>
      </c>
      <c r="C146" s="84">
        <f>C43+C68+C71+C76+C78+C86+C101+C106+C99+C83+C97</f>
        <v>186821.4</v>
      </c>
      <c r="D146" s="60">
        <f>D43+D68+D71+D76+D78+D86+D101+D106+D99+D83+D97</f>
        <v>140060.40699999998</v>
      </c>
      <c r="E146" s="19"/>
      <c r="F146" s="19"/>
      <c r="G146" s="6"/>
      <c r="H146" s="6"/>
      <c r="I146" s="20"/>
      <c r="K146" s="45"/>
      <c r="L146" s="45"/>
    </row>
    <row r="147" spans="1:12" ht="19.5" thickBot="1">
      <c r="A147" s="14" t="s">
        <v>19</v>
      </c>
      <c r="B147" s="54">
        <f>B6+B18+B33+B43+B51+B58+B68+B71+B76+B78+B86+B89+B94+B101+B106+B99+B83+B97+B45</f>
        <v>728032.7999999999</v>
      </c>
      <c r="C147" s="54">
        <f>C6+C18+C33+C43+C51+C58+C68+C71+C76+C78+C86+C89+C94+C101+C106+C99+C83+C97+C45</f>
        <v>971293.7000000001</v>
      </c>
      <c r="D147" s="54">
        <f>D6+D18+D33+D43+D51+D58+D68+D71+D76+D78+D86+D89+D94+D101+D106+D99+D83+D97+D45</f>
        <v>651838.807</v>
      </c>
      <c r="E147" s="38">
        <v>100</v>
      </c>
      <c r="F147" s="3">
        <f>D147/B147*100</f>
        <v>89.53426370350348</v>
      </c>
      <c r="G147" s="3">
        <f aca="true" t="shared" si="18" ref="G147:G153">D147/C147*100</f>
        <v>67.11037114726473</v>
      </c>
      <c r="H147" s="3">
        <f aca="true" t="shared" si="19" ref="H147:H153">B147-D147</f>
        <v>76193.9929999999</v>
      </c>
      <c r="I147" s="3">
        <f aca="true" t="shared" si="20" ref="I147:I153">C147-D147</f>
        <v>319454.89300000004</v>
      </c>
      <c r="K147" s="46"/>
      <c r="L147" s="47"/>
    </row>
    <row r="148" spans="1:12" ht="18.75">
      <c r="A148" s="23" t="s">
        <v>5</v>
      </c>
      <c r="B148" s="67">
        <f>B8+B20+B34+B52+B59+B90+B114+B118+B46+B136+B129</f>
        <v>408134.50000000006</v>
      </c>
      <c r="C148" s="67">
        <f>C8+C20+C34+C52+C59+C90+C114+C118+C46+C136+C129</f>
        <v>558492.2999999999</v>
      </c>
      <c r="D148" s="67">
        <f>D8+D20+D34+D52+D59+D90+D114+D118+D46+D136+D129</f>
        <v>369165.79999999993</v>
      </c>
      <c r="E148" s="6">
        <f>D148/D147*100</f>
        <v>56.63452314216081</v>
      </c>
      <c r="F148" s="6">
        <f aca="true" t="shared" si="21" ref="F148:F159">D148/B148*100</f>
        <v>90.45199560439019</v>
      </c>
      <c r="G148" s="6">
        <f t="shared" si="18"/>
        <v>66.10042788414451</v>
      </c>
      <c r="H148" s="6">
        <f t="shared" si="19"/>
        <v>38968.70000000013</v>
      </c>
      <c r="I148" s="18">
        <f t="shared" si="20"/>
        <v>189326.5</v>
      </c>
      <c r="K148" s="46"/>
      <c r="L148" s="47"/>
    </row>
    <row r="149" spans="1:12" ht="18.75">
      <c r="A149" s="23" t="s">
        <v>0</v>
      </c>
      <c r="B149" s="68">
        <f>B11+B23+B36+B55+B61+B91+B49+B137+B108+B111+B95+B134</f>
        <v>68898.99999999999</v>
      </c>
      <c r="C149" s="68">
        <f>C11+C23+C36+C55+C61+C91+C49+C137+C108+C111+C95+C134</f>
        <v>99834</v>
      </c>
      <c r="D149" s="68">
        <f>D11+D23+D36+D55+D61+D91+D49+D137+D108+D111+D95+D134</f>
        <v>58481.20000000001</v>
      </c>
      <c r="E149" s="6">
        <f>D149/D147*100</f>
        <v>8.971727269376892</v>
      </c>
      <c r="F149" s="6">
        <f t="shared" si="21"/>
        <v>84.87960638035389</v>
      </c>
      <c r="G149" s="6">
        <f t="shared" si="18"/>
        <v>58.57844021074986</v>
      </c>
      <c r="H149" s="6">
        <f t="shared" si="19"/>
        <v>10417.799999999974</v>
      </c>
      <c r="I149" s="18">
        <f t="shared" si="20"/>
        <v>41352.79999999999</v>
      </c>
      <c r="K149" s="46"/>
      <c r="L149" s="102"/>
    </row>
    <row r="150" spans="1:12" ht="18.75">
      <c r="A150" s="23" t="s">
        <v>1</v>
      </c>
      <c r="B150" s="67">
        <f>B22+B10+B54+B48+B60+B35+B102+B122</f>
        <v>18317.8</v>
      </c>
      <c r="C150" s="67">
        <f>C22+C10+C54+C48+C60+C35+C102+C122</f>
        <v>25986.7</v>
      </c>
      <c r="D150" s="67">
        <f>D22+D10+D54+D48+D60+D35+D102+D122</f>
        <v>15146.199999999999</v>
      </c>
      <c r="E150" s="6">
        <f>D150/D147*100</f>
        <v>2.3236112728096594</v>
      </c>
      <c r="F150" s="6">
        <f t="shared" si="21"/>
        <v>82.68569369684133</v>
      </c>
      <c r="G150" s="6">
        <f t="shared" si="18"/>
        <v>58.28443011232668</v>
      </c>
      <c r="H150" s="6">
        <f t="shared" si="19"/>
        <v>3171.6000000000004</v>
      </c>
      <c r="I150" s="18">
        <f t="shared" si="20"/>
        <v>10840.500000000002</v>
      </c>
      <c r="K150" s="46"/>
      <c r="L150" s="47"/>
    </row>
    <row r="151" spans="1:12" ht="21" customHeight="1">
      <c r="A151" s="23" t="s">
        <v>15</v>
      </c>
      <c r="B151" s="67">
        <f>B12+B24+B103+B62+B38+B92</f>
        <v>9747.6</v>
      </c>
      <c r="C151" s="67">
        <f>C12+C24+C103+C62+C38+C92</f>
        <v>15583.800000000001</v>
      </c>
      <c r="D151" s="67">
        <f>D12+D24+D103+D62+D38+D92</f>
        <v>7465</v>
      </c>
      <c r="E151" s="6">
        <f>D151/D147*100</f>
        <v>1.145221781801647</v>
      </c>
      <c r="F151" s="6">
        <f t="shared" si="21"/>
        <v>76.58295375271862</v>
      </c>
      <c r="G151" s="6">
        <f t="shared" si="18"/>
        <v>47.90230880786457</v>
      </c>
      <c r="H151" s="6">
        <f t="shared" si="19"/>
        <v>2282.6000000000004</v>
      </c>
      <c r="I151" s="18">
        <f t="shared" si="20"/>
        <v>8118.800000000001</v>
      </c>
      <c r="K151" s="46"/>
      <c r="L151" s="102"/>
    </row>
    <row r="152" spans="1:12" ht="18.75">
      <c r="A152" s="23" t="s">
        <v>2</v>
      </c>
      <c r="B152" s="67">
        <f>B9+B21+B47+B53+B121</f>
        <v>9636.099999999999</v>
      </c>
      <c r="C152" s="67">
        <f>C9+C21+C47+C53+C121</f>
        <v>13124.6</v>
      </c>
      <c r="D152" s="67">
        <f>D9+D21+D47+D53+D121</f>
        <v>7389.899999999999</v>
      </c>
      <c r="E152" s="6">
        <f>D152/D147*100</f>
        <v>1.1337005285111843</v>
      </c>
      <c r="F152" s="6">
        <f t="shared" si="21"/>
        <v>76.689739624952</v>
      </c>
      <c r="G152" s="6">
        <f t="shared" si="18"/>
        <v>56.3057159837252</v>
      </c>
      <c r="H152" s="6">
        <f t="shared" si="19"/>
        <v>2246.2</v>
      </c>
      <c r="I152" s="18">
        <f t="shared" si="20"/>
        <v>5734.700000000002</v>
      </c>
      <c r="K152" s="46"/>
      <c r="L152" s="47"/>
    </row>
    <row r="153" spans="1:12" ht="19.5" thickBot="1">
      <c r="A153" s="23" t="s">
        <v>34</v>
      </c>
      <c r="B153" s="67">
        <f>B147-B148-B149-B150-B151-B152</f>
        <v>213297.79999999987</v>
      </c>
      <c r="C153" s="67">
        <f>C147-C148-C149-C150-C151-C152</f>
        <v>258272.30000000013</v>
      </c>
      <c r="D153" s="67">
        <f>D147-D148-D149-D150-D151-D152</f>
        <v>194190.70700000008</v>
      </c>
      <c r="E153" s="6">
        <f>D153/D147*100</f>
        <v>29.79121600533981</v>
      </c>
      <c r="F153" s="6">
        <f t="shared" si="21"/>
        <v>91.04205809905221</v>
      </c>
      <c r="G153" s="43">
        <f t="shared" si="18"/>
        <v>75.1883601144993</v>
      </c>
      <c r="H153" s="6">
        <f t="shared" si="19"/>
        <v>19107.09299999979</v>
      </c>
      <c r="I153" s="6">
        <f t="shared" si="20"/>
        <v>64081.59300000005</v>
      </c>
      <c r="K153" s="46"/>
      <c r="L153" s="102"/>
    </row>
    <row r="154" spans="1:12" ht="5.25" customHeight="1" thickBot="1">
      <c r="A154" s="35"/>
      <c r="B154" s="85"/>
      <c r="C154" s="86"/>
      <c r="D154" s="86"/>
      <c r="E154" s="21"/>
      <c r="F154" s="21"/>
      <c r="G154" s="21"/>
      <c r="H154" s="21"/>
      <c r="I154" s="22"/>
      <c r="K154" s="46"/>
      <c r="L154" s="46"/>
    </row>
    <row r="155" spans="1:12" ht="18.75">
      <c r="A155" s="32" t="s">
        <v>21</v>
      </c>
      <c r="B155" s="87">
        <f>17766.1+3203.3</f>
        <v>20969.399999999998</v>
      </c>
      <c r="C155" s="73">
        <f>3301.9+496+14356.4+1358.1+6215.8</f>
        <v>25728.199999999997</v>
      </c>
      <c r="D155" s="73">
        <f>288.1+1522.4+951.8+530.2+8.8+0.5+0.1+495.9+10.6+101+174.6+2.1+509.4+15+8.4+488.4+154.3+94.8+166.1+65.8+286.9+80.4+239.8+10.1+12.9+335.6+111.7+50.2+26.4+275.5+191.2+157.5+87.7+3.1+124.7+130.9+152.7+23.9+59</f>
        <v>7948.499999999998</v>
      </c>
      <c r="E155" s="15"/>
      <c r="F155" s="6">
        <f t="shared" si="21"/>
        <v>37.90523334000972</v>
      </c>
      <c r="G155" s="6">
        <f aca="true" t="shared" si="22" ref="G155:G164">D155/C155*100</f>
        <v>30.89411618379832</v>
      </c>
      <c r="H155" s="6">
        <f>B155-D155</f>
        <v>13020.9</v>
      </c>
      <c r="I155" s="6">
        <f aca="true" t="shared" si="23" ref="I155:I164">C155-D155</f>
        <v>17779.699999999997</v>
      </c>
      <c r="K155" s="46"/>
      <c r="L155" s="46"/>
    </row>
    <row r="156" spans="1:12" ht="18.75">
      <c r="A156" s="23" t="s">
        <v>22</v>
      </c>
      <c r="B156" s="88">
        <f>14268.9+160+846</f>
        <v>15274.9</v>
      </c>
      <c r="C156" s="67">
        <f>16860.5-195+353.2+846</f>
        <v>17864.7</v>
      </c>
      <c r="D156" s="67">
        <f>132.1+649.5+498.6+2.9+146.5+119.3+11.1+935+701.6+2.9+12.3-0.1+18.6+43.3+39.7+94+282.1+33.2+9+121.6+250.9+78.8+80</f>
        <v>4262.9</v>
      </c>
      <c r="E156" s="6"/>
      <c r="F156" s="6">
        <f t="shared" si="21"/>
        <v>27.907875010638367</v>
      </c>
      <c r="G156" s="6">
        <f t="shared" si="22"/>
        <v>23.86214154169955</v>
      </c>
      <c r="H156" s="6">
        <f aca="true" t="shared" si="24" ref="H156:H163">B156-D156</f>
        <v>11012</v>
      </c>
      <c r="I156" s="6">
        <f t="shared" si="23"/>
        <v>13601.800000000001</v>
      </c>
      <c r="K156" s="46"/>
      <c r="L156" s="46"/>
    </row>
    <row r="157" spans="1:12" ht="18.75">
      <c r="A157" s="23" t="s">
        <v>60</v>
      </c>
      <c r="B157" s="88">
        <f>196197.7-160+30159.4-2140-37856.7-150</f>
        <v>186050.40000000002</v>
      </c>
      <c r="C157" s="67">
        <f>213607.5+29882.9-2140-37856.7-150</f>
        <v>203343.7</v>
      </c>
      <c r="D157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</f>
        <v>40499.80000000002</v>
      </c>
      <c r="E157" s="6"/>
      <c r="F157" s="6">
        <f t="shared" si="21"/>
        <v>21.76818754488032</v>
      </c>
      <c r="G157" s="6">
        <f t="shared" si="22"/>
        <v>19.916918989867902</v>
      </c>
      <c r="H157" s="6">
        <f t="shared" si="24"/>
        <v>145550.6</v>
      </c>
      <c r="I157" s="6">
        <f t="shared" si="23"/>
        <v>162843.9</v>
      </c>
      <c r="K157" s="46"/>
      <c r="L157" s="46"/>
    </row>
    <row r="158" spans="1:12" ht="37.5">
      <c r="A158" s="23" t="s">
        <v>69</v>
      </c>
      <c r="B158" s="88">
        <f>409.4+2140</f>
        <v>2549.4</v>
      </c>
      <c r="C158" s="67">
        <f>509.4+2140</f>
        <v>2649.4</v>
      </c>
      <c r="D158" s="67">
        <f>309.4</f>
        <v>309.4</v>
      </c>
      <c r="E158" s="6"/>
      <c r="F158" s="6">
        <f t="shared" si="21"/>
        <v>12.136188907193848</v>
      </c>
      <c r="G158" s="6">
        <f t="shared" si="22"/>
        <v>11.678115799803727</v>
      </c>
      <c r="H158" s="6">
        <f t="shared" si="24"/>
        <v>2240</v>
      </c>
      <c r="I158" s="6">
        <f t="shared" si="23"/>
        <v>2340</v>
      </c>
      <c r="K158" s="46"/>
      <c r="L158" s="46"/>
    </row>
    <row r="159" spans="1:12" ht="18.75">
      <c r="A159" s="23" t="s">
        <v>13</v>
      </c>
      <c r="B159" s="88">
        <v>13310.4</v>
      </c>
      <c r="C159" s="67">
        <f>54+13623.4</f>
        <v>13677.4</v>
      </c>
      <c r="D159" s="67">
        <f>5.2+5.1+225.1+114.9+40.2+5.2+4.6+89.9+13.6+4.1+10.7+98.5+1634+39+1.7-40.2+1.3+4.6+3.7+91</f>
        <v>2352.2000000000003</v>
      </c>
      <c r="E159" s="19"/>
      <c r="F159" s="6">
        <f t="shared" si="21"/>
        <v>17.671895660536123</v>
      </c>
      <c r="G159" s="6">
        <f t="shared" si="22"/>
        <v>17.197713015631628</v>
      </c>
      <c r="H159" s="6">
        <f t="shared" si="24"/>
        <v>10958.199999999999</v>
      </c>
      <c r="I159" s="6">
        <f t="shared" si="23"/>
        <v>11325.199999999999</v>
      </c>
      <c r="K159" s="46"/>
      <c r="L159" s="46"/>
    </row>
    <row r="160" spans="1:12" ht="18.75" hidden="1">
      <c r="A160" s="23" t="s">
        <v>26</v>
      </c>
      <c r="B160" s="88"/>
      <c r="C160" s="67"/>
      <c r="D160" s="67"/>
      <c r="E160" s="19"/>
      <c r="F160" s="6" t="e">
        <f>D160/B160*100</f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6"/>
      <c r="L160" s="46"/>
    </row>
    <row r="161" spans="1:9" ht="18.75">
      <c r="A161" s="23" t="s">
        <v>52</v>
      </c>
      <c r="B161" s="88">
        <v>1053.5</v>
      </c>
      <c r="C161" s="67">
        <f>1212+158.6</f>
        <v>1370.6</v>
      </c>
      <c r="D161" s="67">
        <f>15.4+25.9+416.9+18.7+17.6</f>
        <v>494.5</v>
      </c>
      <c r="E161" s="19"/>
      <c r="F161" s="6">
        <f>D161/B161*100</f>
        <v>46.93877551020408</v>
      </c>
      <c r="G161" s="6">
        <f t="shared" si="22"/>
        <v>36.079089449875966</v>
      </c>
      <c r="H161" s="6">
        <f t="shared" si="24"/>
        <v>559</v>
      </c>
      <c r="I161" s="6">
        <f t="shared" si="23"/>
        <v>876.0999999999999</v>
      </c>
    </row>
    <row r="162" spans="1:9" ht="19.5" customHeight="1">
      <c r="A162" s="23" t="s">
        <v>67</v>
      </c>
      <c r="B162" s="88">
        <v>307.6</v>
      </c>
      <c r="C162" s="67">
        <v>307.6</v>
      </c>
      <c r="D162" s="67"/>
      <c r="E162" s="19"/>
      <c r="F162" s="6">
        <f>D162/B162*100</f>
        <v>0</v>
      </c>
      <c r="G162" s="6">
        <f t="shared" si="22"/>
        <v>0</v>
      </c>
      <c r="H162" s="6">
        <f t="shared" si="24"/>
        <v>307.6</v>
      </c>
      <c r="I162" s="6">
        <f t="shared" si="23"/>
        <v>307.6</v>
      </c>
    </row>
    <row r="163" spans="1:9" ht="19.5" thickBot="1">
      <c r="A163" s="23" t="s">
        <v>61</v>
      </c>
      <c r="B163" s="88">
        <v>3718.8</v>
      </c>
      <c r="C163" s="89">
        <v>3718.8</v>
      </c>
      <c r="D163" s="89">
        <f>98.8+11.3+146.1+110.9-0.1+10.1+85.3+20.5+418+104.6+257.6+46.9+315.7+1.5+1.4+47.1+128.3+440+24.2+62.6+0.1+90.4+1.3+111.4+230.8+4.4+180+41.1+64.6+325</f>
        <v>3379.9</v>
      </c>
      <c r="E163" s="24"/>
      <c r="F163" s="6">
        <f>D163/B163*100</f>
        <v>90.88684521888781</v>
      </c>
      <c r="G163" s="6">
        <f t="shared" si="22"/>
        <v>90.88684521888781</v>
      </c>
      <c r="H163" s="6">
        <f t="shared" si="24"/>
        <v>338.9000000000001</v>
      </c>
      <c r="I163" s="6">
        <f t="shared" si="23"/>
        <v>338.9000000000001</v>
      </c>
    </row>
    <row r="164" spans="1:9" ht="19.5" thickBot="1">
      <c r="A164" s="14" t="s">
        <v>20</v>
      </c>
      <c r="B164" s="90">
        <f>B147+B155+B159+B160+B156+B163+B162+B157+B161+B158</f>
        <v>971267.2000000001</v>
      </c>
      <c r="C164" s="90">
        <f>C147+C155+C159+C160+C156+C163+C162+C157+C161+C158</f>
        <v>1239954.1</v>
      </c>
      <c r="D164" s="90">
        <f>D147+D155+D159+D160+D156+D163+D162+D157+D161+D158</f>
        <v>711086.0070000001</v>
      </c>
      <c r="E164" s="25"/>
      <c r="F164" s="3">
        <f>D164/B164*100</f>
        <v>73.21219196941892</v>
      </c>
      <c r="G164" s="3">
        <f t="shared" si="22"/>
        <v>57.34776851820563</v>
      </c>
      <c r="H164" s="3">
        <f>B164-D164</f>
        <v>260181.19299999997</v>
      </c>
      <c r="I164" s="3">
        <f t="shared" si="23"/>
        <v>528868.093</v>
      </c>
    </row>
    <row r="165" spans="7:8" ht="12.75">
      <c r="G165" s="26"/>
      <c r="H165" s="26"/>
    </row>
    <row r="166" spans="7:9" ht="12.75">
      <c r="G166" s="26"/>
      <c r="H166" s="26"/>
      <c r="I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Q35" sqref="Q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фінансування'!C147</f>
        <v>971293.7000000001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фінансування'!D147</f>
        <v>651838.807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42" sqref="Q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7" sqref="Q3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5" sqref="K45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4" sqref="R2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фінансування'!C147</f>
        <v>971293.7000000001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фінансування'!D147</f>
        <v>651838.807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2015-09-02T11:19:39Z</cp:lastPrinted>
  <dcterms:created xsi:type="dcterms:W3CDTF">2000-06-20T04:48:00Z</dcterms:created>
  <dcterms:modified xsi:type="dcterms:W3CDTF">2015-09-24T05:03:34Z</dcterms:modified>
  <cp:category/>
  <cp:version/>
  <cp:contentType/>
  <cp:contentStatus/>
</cp:coreProperties>
</file>